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99.xml" ContentType="application/vnd.openxmlformats-officedocument.drawingml.chart+xml"/>
  <Override PartName="/xl/theme/themeOverride60.xml" ContentType="application/vnd.openxmlformats-officedocument.themeOverride+xml"/>
  <Override PartName="/xl/charts/chart100.xml" ContentType="application/vnd.openxmlformats-officedocument.drawingml.chart+xml"/>
  <Override PartName="/xl/drawings/drawing11.xml" ContentType="application/vnd.openxmlformats-officedocument.drawing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theme/themeOverride59.xml" ContentType="application/vnd.openxmlformats-officedocument.themeOverride+xml"/>
  <Override PartName="/xl/charts/chart98.xml" ContentType="application/vnd.openxmlformats-officedocument.drawingml.chart+xml"/>
  <Override PartName="/xl/theme/themeOverride58.xml" ContentType="application/vnd.openxmlformats-officedocument.themeOverride+xml"/>
  <Override PartName="/xl/charts/chart93.xml" ContentType="application/vnd.openxmlformats-officedocument.drawingml.chart+xml"/>
  <Override PartName="/xl/theme/themeOverride57.xml" ContentType="application/vnd.openxmlformats-officedocument.themeOverride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103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Override56.xml" ContentType="application/vnd.openxmlformats-officedocument.themeOverride+xml"/>
  <Override PartName="/xl/charts/chart92.xml" ContentType="application/vnd.openxmlformats-officedocument.drawingml.chart+xml"/>
  <Override PartName="/xl/theme/themeOverride55.xml" ContentType="application/vnd.openxmlformats-officedocument.themeOverride+xml"/>
  <Override PartName="/xl/theme/themeOverride47.xml" ContentType="application/vnd.openxmlformats-officedocument.themeOverride+xml"/>
  <Override PartName="/xl/charts/chart79.xml" ContentType="application/vnd.openxmlformats-officedocument.drawingml.chart+xml"/>
  <Override PartName="/xl/theme/themeOverride48.xml" ContentType="application/vnd.openxmlformats-officedocument.themeOverride+xml"/>
  <Override PartName="/xl/charts/chart80.xml" ContentType="application/vnd.openxmlformats-officedocument.drawingml.chart+xml"/>
  <Override PartName="/xl/drawings/drawing9.xml" ContentType="application/vnd.openxmlformats-officedocument.drawing+xml"/>
  <Override PartName="/xl/charts/chart81.xml" ContentType="application/vnd.openxmlformats-officedocument.drawingml.chart+xml"/>
  <Override PartName="/xl/charts/chart78.xml" ContentType="application/vnd.openxmlformats-officedocument.drawingml.chart+xml"/>
  <Override PartName="/xl/theme/themeOverride46.xml" ContentType="application/vnd.openxmlformats-officedocument.themeOverride+xml"/>
  <Override PartName="/xl/charts/chart77.xml" ContentType="application/vnd.openxmlformats-officedocument.drawingml.chart+xml"/>
  <Override PartName="/xl/worksheets/sheet1.xml" ContentType="application/vnd.openxmlformats-officedocument.spreadsheetml.worksheet+xml"/>
  <Override PartName="/xl/charts/chart73.xml" ContentType="application/vnd.openxmlformats-officedocument.drawingml.chart+xml"/>
  <Override PartName="/xl/theme/themeOverride45.xml" ContentType="application/vnd.openxmlformats-officedocument.themeOverride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theme/themeOverride49.xml" ContentType="application/vnd.openxmlformats-officedocument.themeOverride+xml"/>
  <Override PartName="/xl/charts/chart82.xml" ContentType="application/vnd.openxmlformats-officedocument.drawingml.chart+xml"/>
  <Override PartName="/xl/theme/themeOverride50.xml" ContentType="application/vnd.openxmlformats-officedocument.themeOverride+xml"/>
  <Override PartName="/xl/theme/themeOverride53.xml" ContentType="application/vnd.openxmlformats-officedocument.themeOverride+xml"/>
  <Override PartName="/xl/charts/chart89.xml" ContentType="application/vnd.openxmlformats-officedocument.drawingml.chart+xml"/>
  <Override PartName="/xl/theme/themeOverride54.xml" ContentType="application/vnd.openxmlformats-officedocument.themeOverride+xml"/>
  <Override PartName="/xl/charts/chart90.xml" ContentType="application/vnd.openxmlformats-officedocument.drawingml.chart+xml"/>
  <Override PartName="/xl/drawings/drawing10.xml" ContentType="application/vnd.openxmlformats-officedocument.drawing+xml"/>
  <Override PartName="/xl/charts/chart91.xml" ContentType="application/vnd.openxmlformats-officedocument.drawingml.chart+xml"/>
  <Override PartName="/xl/charts/chart88.xml" ContentType="application/vnd.openxmlformats-officedocument.drawingml.chart+xml"/>
  <Override PartName="/xl/theme/themeOverride52.xml" ContentType="application/vnd.openxmlformats-officedocument.themeOverride+xml"/>
  <Override PartName="/xl/charts/chart87.xml" ContentType="application/vnd.openxmlformats-officedocument.drawingml.chart+xml"/>
  <Override PartName="/xl/charts/chart83.xml" ContentType="application/vnd.openxmlformats-officedocument.drawingml.chart+xml"/>
  <Override PartName="/xl/theme/themeOverride51.xml" ContentType="application/vnd.openxmlformats-officedocument.themeOverride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72.xml" ContentType="application/vnd.openxmlformats-officedocument.drawingml.chart+xml"/>
  <Override PartName="/xl/theme/themeOverride44.xml" ContentType="application/vnd.openxmlformats-officedocument.themeOverride+xml"/>
  <Override PartName="/xl/charts/chart71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theme/themeOverride13.xml" ContentType="application/vnd.openxmlformats-officedocument.themeOverride+xml"/>
  <Override PartName="/xl/charts/chart22.xml" ContentType="application/vnd.openxmlformats-officedocument.drawingml.chart+xml"/>
  <Override PartName="/xl/theme/themeOverride14.xml" ContentType="application/vnd.openxmlformats-officedocument.themeOverride+xml"/>
  <Override PartName="/xl/charts/chart19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charts/chart15.xml" ContentType="application/vnd.openxmlformats-officedocument.drawingml.chart+xml"/>
  <Override PartName="/xl/theme/themeOverride11.xml" ContentType="application/vnd.openxmlformats-officedocument.themeOverride+xml"/>
  <Override PartName="/xl/charts/chart16.xml" ContentType="application/vnd.openxmlformats-officedocument.drawingml.chart+xml"/>
  <Override PartName="/xl/theme/themeOverride12.xml" ContentType="application/vnd.openxmlformats-officedocument.themeOverride+xml"/>
  <Override PartName="/xl/charts/chart23.xml" ContentType="application/vnd.openxmlformats-officedocument.drawingml.chart+xml"/>
  <Override PartName="/xl/theme/themeOverride15.xml" ContentType="application/vnd.openxmlformats-officedocument.themeOverride+xml"/>
  <Override PartName="/xl/charts/chart24.xml" ContentType="application/vnd.openxmlformats-officedocument.drawingml.chart+xml"/>
  <Override PartName="/xl/charts/chart30.xml" ContentType="application/vnd.openxmlformats-officedocument.drawingml.chart+xml"/>
  <Override PartName="/xl/drawings/drawing4.xml" ContentType="application/vnd.openxmlformats-officedocument.drawing+xml"/>
  <Override PartName="/xl/charts/chart31.xml" ContentType="application/vnd.openxmlformats-officedocument.drawingml.chart+xml"/>
  <Override PartName="/xl/theme/themeOverride19.xml" ContentType="application/vnd.openxmlformats-officedocument.themeOverride+xml"/>
  <Override PartName="/xl/charts/chart32.xml" ContentType="application/vnd.openxmlformats-officedocument.drawingml.chart+xml"/>
  <Override PartName="/xl/theme/themeOverride20.xml" ContentType="application/vnd.openxmlformats-officedocument.themeOverride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7.xml" ContentType="application/vnd.openxmlformats-officedocument.drawingml.chart+xml"/>
  <Override PartName="/xl/theme/themeOverride16.xml" ContentType="application/vnd.openxmlformats-officedocument.themeOverride+xml"/>
  <Override PartName="/xl/charts/chart25.xml" ContentType="application/vnd.openxmlformats-officedocument.drawingml.chart+xml"/>
  <Override PartName="/xl/theme/themeOverride17.xml" ContentType="application/vnd.openxmlformats-officedocument.themeOverride+xml"/>
  <Override PartName="/xl/charts/chart26.xml" ContentType="application/vnd.openxmlformats-officedocument.drawingml.chart+xml"/>
  <Override PartName="/xl/theme/themeOverride18.xml" ContentType="application/vnd.openxmlformats-officedocument.themeOverride+xml"/>
  <Override PartName="/xl/theme/themeOverride9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43.xml" ContentType="application/vnd.openxmlformats-officedocument.themeOverrid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theme/themeOverride36.xml" ContentType="application/vnd.openxmlformats-officedocument.themeOverride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7.xml" ContentType="application/vnd.openxmlformats-officedocument.drawing+xml"/>
  <Override PartName="/xl/charts/chart56.xml" ContentType="application/vnd.openxmlformats-officedocument.drawingml.chart+xml"/>
  <Override PartName="/xl/theme/themeOverride35.xml" ContentType="application/vnd.openxmlformats-officedocument.themeOverride+xml"/>
  <Override PartName="/xl/charts/chart55.xml" ContentType="application/vnd.openxmlformats-officedocument.drawingml.chart+xml"/>
  <Override PartName="/xl/theme/themeOverride21.xml" ContentType="application/vnd.openxmlformats-officedocument.themeOverride+xml"/>
  <Override PartName="/xl/theme/themeOverride32.xml" ContentType="application/vnd.openxmlformats-officedocument.themeOverride+xml"/>
  <Override PartName="/xl/charts/chart53.xml" ContentType="application/vnd.openxmlformats-officedocument.drawingml.chart+xml"/>
  <Override PartName="/xl/theme/themeOverride33.xml" ContentType="application/vnd.openxmlformats-officedocument.themeOverride+xml"/>
  <Override PartName="/xl/charts/chart54.xml" ContentType="application/vnd.openxmlformats-officedocument.drawingml.chart+xml"/>
  <Override PartName="/xl/theme/themeOverride34.xml" ContentType="application/vnd.openxmlformats-officedocument.themeOverride+xml"/>
  <Override PartName="/xl/charts/chart61.xml" ContentType="application/vnd.openxmlformats-officedocument.drawingml.chart+xml"/>
  <Override PartName="/xl/theme/themeOverride37.xml" ContentType="application/vnd.openxmlformats-officedocument.themeOverride+xml"/>
  <Override PartName="/xl/charts/chart62.xml" ContentType="application/vnd.openxmlformats-officedocument.drawingml.chart+xml"/>
  <Override PartName="/xl/charts/chart68.xml" ContentType="application/vnd.openxmlformats-officedocument.drawingml.chart+xml"/>
  <Override PartName="/xl/theme/themeOverride41.xml" ContentType="application/vnd.openxmlformats-officedocument.themeOverride+xml"/>
  <Override PartName="/xl/charts/chart69.xml" ContentType="application/vnd.openxmlformats-officedocument.drawingml.chart+xml"/>
  <Override PartName="/xl/theme/themeOverride42.xml" ContentType="application/vnd.openxmlformats-officedocument.themeOverride+xml"/>
  <Override PartName="/xl/charts/chart70.xml" ContentType="application/vnd.openxmlformats-officedocument.drawingml.chart+xml"/>
  <Override PartName="/xl/drawings/drawing8.xml" ContentType="application/vnd.openxmlformats-officedocument.drawing+xml"/>
  <Override PartName="/xl/theme/themeOverride40.xml" ContentType="application/vnd.openxmlformats-officedocument.themeOverride+xml"/>
  <Override PartName="/xl/charts/chart67.xml" ContentType="application/vnd.openxmlformats-officedocument.drawingml.chart+xml"/>
  <Override PartName="/xl/charts/chart66.xml" ContentType="application/vnd.openxmlformats-officedocument.drawingml.chart+xml"/>
  <Override PartName="/xl/theme/themeOverride38.xml" ContentType="application/vnd.openxmlformats-officedocument.themeOverride+xml"/>
  <Override PartName="/xl/charts/chart63.xml" ContentType="application/vnd.openxmlformats-officedocument.drawingml.chart+xml"/>
  <Override PartName="/xl/theme/themeOverride39.xml" ContentType="application/vnd.openxmlformats-officedocument.themeOverrid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theme/themeOverride31.xml" ContentType="application/vnd.openxmlformats-officedocument.themeOverride+xml"/>
  <Override PartName="/xl/charts/chart52.xml" ContentType="application/vnd.openxmlformats-officedocument.drawingml.chart+xml"/>
  <Override PartName="/xl/drawings/drawing6.xml" ContentType="application/vnd.openxmlformats-officedocument.drawing+xml"/>
  <Override PartName="/xl/charts/chart40.xml" ContentType="application/vnd.openxmlformats-officedocument.drawingml.chart+xml"/>
  <Override PartName="/xl/drawings/drawing5.xml" ContentType="application/vnd.openxmlformats-officedocument.drawing+xml"/>
  <Override PartName="/xl/charts/chart41.xml" ContentType="application/vnd.openxmlformats-officedocument.drawingml.chart+xml"/>
  <Override PartName="/xl/theme/themeOverride25.xml" ContentType="application/vnd.openxmlformats-officedocument.themeOverride+xml"/>
  <Override PartName="/xl/charts/chart51.xml" ContentType="application/vnd.openxmlformats-officedocument.drawingml.chart+xml"/>
  <Override PartName="/xl/theme/themeOverride26.xml" ContentType="application/vnd.openxmlformats-officedocument.themeOverride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theme/themeOverride22.xml" ContentType="application/vnd.openxmlformats-officedocument.themeOverride+xml"/>
  <Override PartName="/xl/charts/chart35.xml" ContentType="application/vnd.openxmlformats-officedocument.drawingml.chart+xml"/>
  <Override PartName="/xl/theme/themeOverride23.xml" ContentType="application/vnd.openxmlformats-officedocument.themeOverride+xml"/>
  <Override PartName="/xl/charts/chart36.xml" ContentType="application/vnd.openxmlformats-officedocument.drawingml.chart+xml"/>
  <Override PartName="/xl/theme/themeOverride24.xml" ContentType="application/vnd.openxmlformats-officedocument.themeOverride+xml"/>
  <Override PartName="/xl/charts/chart43.xml" ContentType="application/vnd.openxmlformats-officedocument.drawingml.chart+xml"/>
  <Override PartName="/xl/charts/chart42.xml" ContentType="application/vnd.openxmlformats-officedocument.drawingml.chart+xml"/>
  <Override PartName="/xl/theme/themeOverride27.xml" ContentType="application/vnd.openxmlformats-officedocument.themeOverride+xml"/>
  <Override PartName="/xl/charts/chart46.xml" ContentType="application/vnd.openxmlformats-officedocument.drawingml.chart+xml"/>
  <Override PartName="/xl/theme/themeOverride30.xml" ContentType="application/vnd.openxmlformats-officedocument.themeOverrid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theme/themeOverride29.xml" ContentType="application/vnd.openxmlformats-officedocument.themeOverride+xml"/>
  <Override PartName="/xl/charts/chart45.xml" ContentType="application/vnd.openxmlformats-officedocument.drawingml.chart+xml"/>
  <Override PartName="/xl/theme/themeOverride28.xml" ContentType="application/vnd.openxmlformats-officedocument.themeOverride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ustainability\Tools and Resources\"/>
    </mc:Choice>
  </mc:AlternateContent>
  <bookViews>
    <workbookView xWindow="0" yWindow="0" windowWidth="19200" windowHeight="10995"/>
  </bookViews>
  <sheets>
    <sheet name="NTD" sheetId="1" r:id="rId1"/>
    <sheet name="Comm Rail - Diesel" sheetId="6" r:id="rId2"/>
    <sheet name="Comm Rail - Electric" sheetId="7" r:id="rId3"/>
    <sheet name="Heavy Rail" sheetId="8" r:id="rId4"/>
    <sheet name="Light Rail" sheetId="9" r:id="rId5"/>
    <sheet name="Streetcar" sheetId="11" r:id="rId6"/>
    <sheet name="Trolley Bus" sheetId="12" r:id="rId7"/>
    <sheet name="Fixed Route Bus" sheetId="10" r:id="rId8"/>
    <sheet name="Bus Rapid Transit" sheetId="16" r:id="rId9"/>
    <sheet name="Commuter Bus" sheetId="17" r:id="rId10"/>
    <sheet name="Vanpool" sheetId="18" r:id="rId11"/>
    <sheet name="Transit Agency" sheetId="3" r:id="rId12"/>
  </sheets>
  <calcPr calcId="152511"/>
</workbook>
</file>

<file path=xl/calcChain.xml><?xml version="1.0" encoding="utf-8"?>
<calcChain xmlns="http://schemas.openxmlformats.org/spreadsheetml/2006/main">
  <c r="J49" i="3" l="1"/>
  <c r="J51" i="3"/>
  <c r="J50" i="3"/>
  <c r="I51" i="3"/>
  <c r="I50" i="3"/>
  <c r="I49" i="3"/>
  <c r="J44" i="3"/>
  <c r="J43" i="3"/>
  <c r="I44" i="3"/>
  <c r="I43" i="3"/>
  <c r="J38" i="3"/>
  <c r="J37" i="3"/>
  <c r="J36" i="3"/>
  <c r="I38" i="3"/>
  <c r="I37" i="3"/>
  <c r="I36" i="3"/>
  <c r="J31" i="3"/>
  <c r="J30" i="3"/>
  <c r="J29" i="3"/>
  <c r="I31" i="3"/>
  <c r="I30" i="3"/>
  <c r="I29" i="3"/>
  <c r="H31" i="3" l="1"/>
  <c r="G31" i="3"/>
  <c r="F31" i="3"/>
  <c r="E31" i="3"/>
  <c r="H38" i="3"/>
  <c r="G38" i="3"/>
  <c r="F38" i="3"/>
  <c r="E38" i="3"/>
  <c r="H14" i="10" l="1"/>
  <c r="I38" i="12"/>
  <c r="I12" i="12"/>
  <c r="I38" i="11"/>
  <c r="I12" i="11"/>
  <c r="I38" i="9"/>
  <c r="I12" i="9"/>
  <c r="I38" i="8"/>
  <c r="I12" i="8"/>
  <c r="I38" i="7"/>
  <c r="I12" i="7"/>
  <c r="I13" i="6"/>
  <c r="I39" i="6"/>
  <c r="H40" i="18"/>
  <c r="H14" i="18"/>
  <c r="K6" i="18"/>
  <c r="K5" i="18"/>
  <c r="K4" i="18"/>
  <c r="J6" i="18"/>
  <c r="I6" i="18"/>
  <c r="H6" i="18"/>
  <c r="G6" i="18"/>
  <c r="F6" i="18"/>
  <c r="J5" i="18"/>
  <c r="I5" i="18"/>
  <c r="H5" i="18"/>
  <c r="G5" i="18"/>
  <c r="F5" i="18"/>
  <c r="J4" i="18"/>
  <c r="I4" i="18"/>
  <c r="H4" i="18"/>
  <c r="G4" i="18"/>
  <c r="F4" i="18"/>
  <c r="E6" i="18"/>
  <c r="E5" i="18"/>
  <c r="E4" i="18"/>
  <c r="H39" i="17"/>
  <c r="H13" i="17"/>
  <c r="G13" i="17"/>
  <c r="K6" i="17"/>
  <c r="K5" i="17"/>
  <c r="K4" i="17"/>
  <c r="J6" i="17"/>
  <c r="I6" i="17"/>
  <c r="H6" i="17"/>
  <c r="G6" i="17"/>
  <c r="F6" i="17"/>
  <c r="J5" i="17"/>
  <c r="I5" i="17"/>
  <c r="H5" i="17"/>
  <c r="G5" i="17"/>
  <c r="F5" i="17"/>
  <c r="J4" i="17"/>
  <c r="I4" i="17"/>
  <c r="H4" i="17"/>
  <c r="G4" i="17"/>
  <c r="F4" i="17"/>
  <c r="E6" i="17"/>
  <c r="E5" i="17"/>
  <c r="E4" i="17"/>
  <c r="E4" i="16"/>
  <c r="H40" i="10"/>
  <c r="E8" i="10"/>
  <c r="I65" i="16"/>
  <c r="H65" i="16"/>
  <c r="G65" i="16"/>
  <c r="I40" i="16"/>
  <c r="H40" i="16"/>
  <c r="G40" i="16"/>
  <c r="I14" i="16"/>
  <c r="H14" i="16"/>
  <c r="G14" i="16"/>
  <c r="H8" i="16"/>
  <c r="J10" i="16"/>
  <c r="J8" i="16"/>
  <c r="I10" i="16"/>
  <c r="I8" i="16"/>
  <c r="K6" i="16"/>
  <c r="K5" i="16"/>
  <c r="K4" i="16"/>
  <c r="J6" i="16"/>
  <c r="I6" i="16"/>
  <c r="H6" i="16"/>
  <c r="G6" i="16"/>
  <c r="F6" i="16"/>
  <c r="J5" i="16"/>
  <c r="I5" i="16"/>
  <c r="H5" i="16"/>
  <c r="G5" i="16"/>
  <c r="F5" i="16"/>
  <c r="J4" i="16"/>
  <c r="I4" i="16"/>
  <c r="H4" i="16"/>
  <c r="G4" i="16"/>
  <c r="F4" i="16"/>
  <c r="E6" i="16"/>
  <c r="E5" i="16"/>
  <c r="K5" i="10"/>
  <c r="K4" i="10"/>
  <c r="J5" i="10"/>
  <c r="I5" i="10"/>
  <c r="H5" i="10"/>
  <c r="G5" i="10"/>
  <c r="F5" i="10"/>
  <c r="J4" i="10"/>
  <c r="I4" i="10"/>
  <c r="H4" i="10"/>
  <c r="G4" i="10"/>
  <c r="F4" i="10"/>
  <c r="E5" i="10"/>
  <c r="E4" i="10"/>
  <c r="K5" i="12"/>
  <c r="K4" i="12"/>
  <c r="K3" i="12"/>
  <c r="J5" i="12"/>
  <c r="I5" i="12"/>
  <c r="H5" i="12"/>
  <c r="G5" i="12"/>
  <c r="F5" i="12"/>
  <c r="J4" i="12"/>
  <c r="I4" i="12"/>
  <c r="H4" i="12"/>
  <c r="G4" i="12"/>
  <c r="F4" i="12"/>
  <c r="J3" i="12"/>
  <c r="I3" i="12"/>
  <c r="H3" i="12"/>
  <c r="G3" i="12"/>
  <c r="F3" i="12"/>
  <c r="E5" i="12"/>
  <c r="E4" i="12"/>
  <c r="E3" i="12"/>
  <c r="K5" i="11"/>
  <c r="K4" i="11"/>
  <c r="K3" i="11"/>
  <c r="J5" i="11"/>
  <c r="I5" i="11"/>
  <c r="H5" i="11"/>
  <c r="G5" i="11"/>
  <c r="F5" i="11"/>
  <c r="E5" i="11"/>
  <c r="J4" i="11"/>
  <c r="I4" i="11"/>
  <c r="H4" i="11"/>
  <c r="G4" i="11"/>
  <c r="F4" i="11"/>
  <c r="E4" i="11"/>
  <c r="J3" i="11"/>
  <c r="I3" i="11"/>
  <c r="H3" i="11"/>
  <c r="G3" i="11"/>
  <c r="F3" i="11"/>
  <c r="E3" i="11"/>
  <c r="K5" i="9"/>
  <c r="K4" i="9"/>
  <c r="K3" i="9"/>
  <c r="J5" i="9"/>
  <c r="I5" i="9"/>
  <c r="H5" i="9"/>
  <c r="G5" i="9"/>
  <c r="F5" i="9"/>
  <c r="E5" i="9"/>
  <c r="J4" i="9"/>
  <c r="I4" i="9"/>
  <c r="H4" i="9"/>
  <c r="G4" i="9"/>
  <c r="F4" i="9"/>
  <c r="E4" i="9"/>
  <c r="J3" i="9"/>
  <c r="I3" i="9"/>
  <c r="H3" i="9"/>
  <c r="G3" i="9"/>
  <c r="F3" i="9"/>
  <c r="E3" i="9"/>
  <c r="K5" i="8"/>
  <c r="K4" i="8"/>
  <c r="K3" i="8"/>
  <c r="J5" i="8"/>
  <c r="J4" i="8"/>
  <c r="J3" i="8"/>
  <c r="I5" i="8"/>
  <c r="I4" i="8"/>
  <c r="I3" i="8"/>
  <c r="H5" i="8"/>
  <c r="H4" i="8"/>
  <c r="H3" i="8"/>
  <c r="G5" i="8"/>
  <c r="G4" i="8"/>
  <c r="G3" i="8"/>
  <c r="F5" i="8"/>
  <c r="F4" i="8"/>
  <c r="F3" i="8"/>
  <c r="E5" i="8"/>
  <c r="E4" i="8"/>
  <c r="E3" i="8"/>
  <c r="K5" i="7"/>
  <c r="K4" i="7"/>
  <c r="K3" i="7"/>
  <c r="J5" i="7"/>
  <c r="J4" i="7"/>
  <c r="J3" i="7"/>
  <c r="I5" i="7"/>
  <c r="I4" i="7"/>
  <c r="I3" i="7"/>
  <c r="H5" i="7"/>
  <c r="H4" i="7"/>
  <c r="H3" i="7"/>
  <c r="G5" i="7"/>
  <c r="G4" i="7"/>
  <c r="G3" i="7"/>
  <c r="F5" i="7"/>
  <c r="F4" i="7"/>
  <c r="F3" i="7"/>
  <c r="E5" i="7"/>
  <c r="E4" i="7"/>
  <c r="E3" i="7"/>
  <c r="K6" i="6"/>
  <c r="K5" i="6"/>
  <c r="K4" i="6"/>
  <c r="J6" i="6"/>
  <c r="J5" i="6"/>
  <c r="J4" i="6"/>
  <c r="I6" i="6"/>
  <c r="I5" i="6"/>
  <c r="I4" i="6"/>
  <c r="H6" i="6"/>
  <c r="H5" i="6"/>
  <c r="H4" i="6"/>
  <c r="G6" i="6"/>
  <c r="G5" i="6"/>
  <c r="G4" i="6"/>
  <c r="F6" i="6"/>
  <c r="F5" i="6"/>
  <c r="F4" i="6"/>
  <c r="E6" i="6"/>
  <c r="E5" i="6"/>
  <c r="E4" i="6"/>
  <c r="B8" i="3"/>
  <c r="K53" i="3"/>
  <c r="K52" i="3"/>
  <c r="J53" i="3"/>
  <c r="J52" i="3"/>
  <c r="I53" i="3"/>
  <c r="I52" i="3"/>
  <c r="H53" i="3"/>
  <c r="H52" i="3"/>
  <c r="G53" i="3"/>
  <c r="G52" i="3"/>
  <c r="F53" i="3"/>
  <c r="F52" i="3"/>
  <c r="E53" i="3"/>
  <c r="E52" i="3"/>
  <c r="K46" i="3" l="1"/>
  <c r="K45" i="3"/>
  <c r="J46" i="3"/>
  <c r="J45" i="3"/>
  <c r="I46" i="3"/>
  <c r="I45" i="3"/>
  <c r="H46" i="3"/>
  <c r="H45" i="3"/>
  <c r="G46" i="3"/>
  <c r="G45" i="3"/>
  <c r="F46" i="3"/>
  <c r="F45" i="3"/>
  <c r="E46" i="3"/>
  <c r="E45" i="3"/>
  <c r="K40" i="3"/>
  <c r="K39" i="3"/>
  <c r="J40" i="3"/>
  <c r="J39" i="3"/>
  <c r="I40" i="3"/>
  <c r="I39" i="3"/>
  <c r="H40" i="3"/>
  <c r="H39" i="3"/>
  <c r="G40" i="3"/>
  <c r="G39" i="3"/>
  <c r="F40" i="3"/>
  <c r="F39" i="3"/>
  <c r="E40" i="3"/>
  <c r="E39" i="3"/>
  <c r="K33" i="3"/>
  <c r="K32" i="3"/>
  <c r="J33" i="3"/>
  <c r="J32" i="3"/>
  <c r="I33" i="3"/>
  <c r="I32" i="3"/>
  <c r="H33" i="3"/>
  <c r="H32" i="3"/>
  <c r="G33" i="3"/>
  <c r="G32" i="3"/>
  <c r="F33" i="3"/>
  <c r="F32" i="3"/>
  <c r="E33" i="3"/>
  <c r="E32" i="3"/>
  <c r="J25" i="3"/>
  <c r="I25" i="3"/>
  <c r="H25" i="3"/>
  <c r="G25" i="3"/>
  <c r="F25" i="3"/>
  <c r="E25" i="3"/>
  <c r="G22" i="3"/>
  <c r="F22" i="3"/>
  <c r="E22" i="3"/>
  <c r="J19" i="3"/>
  <c r="I19" i="3"/>
  <c r="H19" i="3"/>
  <c r="G19" i="3"/>
  <c r="F19" i="3"/>
  <c r="E19" i="3"/>
  <c r="J16" i="3"/>
  <c r="I16" i="3"/>
  <c r="H16" i="3"/>
  <c r="G16" i="3"/>
  <c r="F16" i="3"/>
  <c r="E16" i="3"/>
  <c r="K14" i="3"/>
  <c r="K13" i="3"/>
  <c r="J14" i="3"/>
  <c r="J13" i="3"/>
  <c r="I14" i="3"/>
  <c r="I13" i="3"/>
  <c r="H14" i="3"/>
  <c r="H13" i="3"/>
  <c r="G14" i="3"/>
  <c r="G13" i="3"/>
  <c r="F14" i="3"/>
  <c r="F13" i="3"/>
  <c r="E14" i="3"/>
  <c r="E13" i="3"/>
  <c r="K11" i="3"/>
  <c r="K10" i="3"/>
  <c r="J11" i="3"/>
  <c r="J10" i="3"/>
  <c r="I11" i="3"/>
  <c r="I10" i="3"/>
  <c r="H11" i="3"/>
  <c r="H10" i="3"/>
  <c r="G11" i="3"/>
  <c r="G10" i="3"/>
  <c r="F11" i="3"/>
  <c r="F10" i="3"/>
  <c r="E11" i="3"/>
  <c r="E10" i="3"/>
  <c r="H6" i="10" l="1"/>
  <c r="J6" i="10"/>
  <c r="F6" i="10"/>
  <c r="K6" i="10"/>
  <c r="I6" i="10"/>
  <c r="G6" i="10"/>
  <c r="E6" i="10"/>
  <c r="I8" i="10"/>
  <c r="J8" i="10"/>
  <c r="K8" i="10"/>
  <c r="I9" i="10"/>
  <c r="J9" i="10"/>
  <c r="K9" i="10"/>
  <c r="J10" i="10"/>
  <c r="K9" i="16"/>
  <c r="J9" i="16"/>
  <c r="I9" i="16"/>
  <c r="K9" i="17"/>
  <c r="K8" i="17"/>
  <c r="I8" i="17"/>
  <c r="J8" i="17"/>
  <c r="I9" i="17"/>
  <c r="J9" i="17"/>
  <c r="I10" i="18"/>
  <c r="J10" i="18"/>
  <c r="I9" i="18"/>
  <c r="J9" i="18"/>
  <c r="M31" i="3"/>
  <c r="M2" i="3"/>
  <c r="J1" i="3"/>
  <c r="I1" i="3"/>
  <c r="H1" i="3"/>
  <c r="G1" i="3"/>
  <c r="F1" i="3"/>
  <c r="E1" i="3"/>
  <c r="K51" i="3"/>
  <c r="H51" i="3"/>
  <c r="G51" i="3"/>
  <c r="F51" i="3"/>
  <c r="E51" i="3"/>
  <c r="K50" i="3"/>
  <c r="H50" i="3"/>
  <c r="G50" i="3"/>
  <c r="F50" i="3"/>
  <c r="E50" i="3"/>
  <c r="K49" i="3"/>
  <c r="H49" i="3"/>
  <c r="G49" i="3"/>
  <c r="F49" i="3"/>
  <c r="E49" i="3"/>
  <c r="K43" i="3"/>
  <c r="H43" i="3"/>
  <c r="G43" i="3"/>
  <c r="F43" i="3"/>
  <c r="E43" i="3"/>
  <c r="K44" i="3"/>
  <c r="H44" i="3"/>
  <c r="G44" i="3"/>
  <c r="F44" i="3"/>
  <c r="E44" i="3"/>
  <c r="K36" i="3"/>
  <c r="K37" i="3"/>
  <c r="H37" i="3"/>
  <c r="G37" i="3"/>
  <c r="F37" i="3"/>
  <c r="E37" i="3"/>
  <c r="H36" i="3"/>
  <c r="G36" i="3"/>
  <c r="F36" i="3"/>
  <c r="E36" i="3"/>
  <c r="K29" i="3"/>
  <c r="K30" i="3"/>
  <c r="H30" i="3"/>
  <c r="G30" i="3"/>
  <c r="F30" i="3"/>
  <c r="E30" i="3"/>
  <c r="H29" i="3"/>
  <c r="G29" i="3"/>
  <c r="F29" i="3"/>
  <c r="E29" i="3"/>
  <c r="J24" i="3"/>
  <c r="I24" i="3"/>
  <c r="H24" i="3"/>
  <c r="G24" i="3"/>
  <c r="F24" i="3"/>
  <c r="E24" i="3"/>
  <c r="J21" i="3"/>
  <c r="I21" i="3"/>
  <c r="H21" i="3"/>
  <c r="G21" i="3"/>
  <c r="F21" i="3"/>
  <c r="E21" i="3"/>
  <c r="J18" i="3"/>
  <c r="I18" i="3"/>
  <c r="H18" i="3"/>
  <c r="G18" i="3"/>
  <c r="F18" i="3"/>
  <c r="E18" i="3"/>
  <c r="J15" i="3"/>
  <c r="I15" i="3"/>
  <c r="H15" i="3"/>
  <c r="G15" i="3"/>
  <c r="F15" i="3"/>
  <c r="E15" i="3"/>
  <c r="J12" i="3"/>
  <c r="I12" i="3"/>
  <c r="H12" i="3"/>
  <c r="G12" i="3"/>
  <c r="F12" i="3"/>
  <c r="E12" i="3"/>
  <c r="J9" i="3"/>
  <c r="I9" i="3"/>
  <c r="J8" i="3"/>
  <c r="I8" i="3"/>
  <c r="H8" i="3"/>
  <c r="G8" i="3"/>
  <c r="F8" i="3"/>
  <c r="E8" i="3"/>
  <c r="K6" i="3"/>
  <c r="J6" i="3"/>
  <c r="I6" i="3"/>
  <c r="H6" i="3"/>
  <c r="G6" i="3"/>
  <c r="F6" i="3"/>
  <c r="E6" i="3"/>
  <c r="K4" i="3"/>
  <c r="J4" i="3"/>
  <c r="I4" i="3"/>
  <c r="H4" i="3"/>
  <c r="G4" i="3"/>
  <c r="F4" i="3"/>
  <c r="E4" i="3"/>
  <c r="H2" i="3"/>
  <c r="G2" i="3"/>
  <c r="F2" i="3"/>
  <c r="E2" i="3"/>
  <c r="K8" i="16"/>
  <c r="K10" i="18"/>
  <c r="K9" i="18"/>
  <c r="K8" i="18"/>
  <c r="I65" i="18"/>
  <c r="I40" i="18"/>
  <c r="G40" i="18"/>
  <c r="G38" i="18"/>
  <c r="I14" i="18"/>
  <c r="G14" i="18"/>
  <c r="G12" i="18"/>
  <c r="J8" i="18"/>
  <c r="I8" i="18"/>
  <c r="H10" i="18"/>
  <c r="G10" i="18"/>
  <c r="F10" i="18"/>
  <c r="E10" i="18"/>
  <c r="H9" i="18"/>
  <c r="G9" i="18"/>
  <c r="F9" i="18"/>
  <c r="E9" i="18"/>
  <c r="H8" i="18"/>
  <c r="G8" i="18"/>
  <c r="F8" i="18"/>
  <c r="E8" i="18"/>
  <c r="J1" i="18"/>
  <c r="I1" i="18"/>
  <c r="H1" i="18"/>
  <c r="G1" i="18"/>
  <c r="F1" i="18"/>
  <c r="E1" i="18"/>
  <c r="H9" i="17"/>
  <c r="G9" i="17"/>
  <c r="F9" i="17"/>
  <c r="E9" i="17"/>
  <c r="H8" i="17"/>
  <c r="G8" i="17"/>
  <c r="F8" i="17"/>
  <c r="E8" i="17"/>
  <c r="G37" i="17"/>
  <c r="I64" i="17"/>
  <c r="I39" i="17"/>
  <c r="G39" i="17"/>
  <c r="I13" i="17"/>
  <c r="G11" i="17"/>
  <c r="J1" i="17"/>
  <c r="I1" i="17"/>
  <c r="H1" i="17"/>
  <c r="G1" i="17"/>
  <c r="F1" i="17"/>
  <c r="E1" i="17"/>
  <c r="H9" i="16"/>
  <c r="G9" i="16"/>
  <c r="F9" i="16"/>
  <c r="H9" i="10"/>
  <c r="G9" i="10"/>
  <c r="F9" i="10"/>
  <c r="I40" i="10"/>
  <c r="I14" i="10"/>
  <c r="J38" i="12"/>
  <c r="J12" i="12"/>
  <c r="J38" i="11"/>
  <c r="J12" i="11"/>
  <c r="J38" i="9"/>
  <c r="J12" i="9"/>
  <c r="J38" i="8"/>
  <c r="J12" i="8"/>
  <c r="J38" i="7"/>
  <c r="J12" i="7"/>
  <c r="J39" i="6"/>
  <c r="J13" i="6"/>
  <c r="G38" i="16"/>
  <c r="G12" i="16"/>
  <c r="H10" i="16"/>
  <c r="G10" i="16"/>
  <c r="F10" i="16"/>
  <c r="E10" i="16"/>
  <c r="E9" i="16"/>
  <c r="G8" i="16"/>
  <c r="F8" i="16"/>
  <c r="E8" i="16"/>
  <c r="J1" i="16"/>
  <c r="I1" i="16"/>
  <c r="H1" i="16"/>
  <c r="G1" i="16"/>
  <c r="F1" i="16"/>
  <c r="E1" i="16"/>
  <c r="G38" i="10"/>
  <c r="G12" i="10"/>
  <c r="J36" i="12"/>
  <c r="J10" i="12"/>
  <c r="J36" i="11"/>
  <c r="J10" i="11"/>
  <c r="J36" i="9"/>
  <c r="J10" i="9"/>
  <c r="J36" i="8"/>
  <c r="J36" i="7"/>
  <c r="J10" i="7"/>
  <c r="J10" i="8"/>
  <c r="J37" i="6"/>
  <c r="J11" i="6"/>
  <c r="J1" i="6"/>
  <c r="I1" i="6"/>
  <c r="H1" i="6"/>
  <c r="G1" i="6"/>
  <c r="F1" i="6"/>
  <c r="E1" i="6"/>
  <c r="J1" i="7"/>
  <c r="I1" i="7"/>
  <c r="H1" i="7"/>
  <c r="G1" i="7"/>
  <c r="F1" i="7"/>
  <c r="E1" i="7"/>
  <c r="J1" i="8"/>
  <c r="I1" i="8"/>
  <c r="H1" i="8"/>
  <c r="G1" i="8"/>
  <c r="F1" i="8"/>
  <c r="E1" i="8"/>
  <c r="J1" i="9"/>
  <c r="I1" i="9"/>
  <c r="H1" i="9"/>
  <c r="G1" i="9"/>
  <c r="F1" i="9"/>
  <c r="E1" i="9"/>
  <c r="J1" i="11"/>
  <c r="I1" i="11"/>
  <c r="H1" i="11"/>
  <c r="G1" i="11"/>
  <c r="F1" i="11"/>
  <c r="E1" i="11"/>
  <c r="J1" i="12"/>
  <c r="I1" i="12"/>
  <c r="H1" i="12"/>
  <c r="G1" i="12"/>
  <c r="F1" i="12"/>
  <c r="E1" i="12"/>
  <c r="J1" i="10"/>
  <c r="I1" i="10"/>
  <c r="H1" i="10"/>
  <c r="G1" i="10"/>
  <c r="F1" i="10"/>
  <c r="E1" i="10"/>
  <c r="I65" i="10"/>
  <c r="G40" i="10"/>
  <c r="G14" i="10"/>
  <c r="I10" i="10"/>
  <c r="H10" i="10"/>
  <c r="G10" i="10"/>
  <c r="F10" i="10"/>
  <c r="E10" i="10"/>
  <c r="E9" i="10"/>
  <c r="H8" i="10"/>
  <c r="G8" i="10"/>
  <c r="F8" i="10"/>
  <c r="J63" i="12"/>
  <c r="H38" i="12"/>
  <c r="H12" i="12"/>
  <c r="J2" i="12"/>
  <c r="I2" i="12"/>
  <c r="H2" i="12"/>
  <c r="G2" i="12"/>
  <c r="F2" i="12"/>
  <c r="E2" i="12"/>
  <c r="J63" i="11"/>
  <c r="H38" i="11"/>
  <c r="H12" i="11"/>
  <c r="J2" i="11"/>
  <c r="I2" i="11"/>
  <c r="H2" i="11"/>
  <c r="G2" i="11"/>
  <c r="F2" i="11"/>
  <c r="E2" i="11"/>
  <c r="J63" i="9"/>
  <c r="H38" i="9"/>
  <c r="H12" i="9"/>
  <c r="J2" i="9"/>
  <c r="I2" i="9"/>
  <c r="H2" i="9"/>
  <c r="G2" i="9"/>
  <c r="F2" i="9"/>
  <c r="E2" i="9"/>
  <c r="J63" i="7"/>
  <c r="J65" i="6"/>
  <c r="J63" i="8"/>
  <c r="H38" i="8"/>
  <c r="H12" i="8"/>
  <c r="H38" i="7"/>
  <c r="H39" i="6"/>
  <c r="J2" i="8"/>
  <c r="I2" i="8"/>
  <c r="H2" i="8"/>
  <c r="G2" i="8"/>
  <c r="F2" i="8"/>
  <c r="E2" i="8"/>
  <c r="H12" i="7"/>
  <c r="J2" i="7"/>
  <c r="I2" i="7"/>
  <c r="H2" i="7"/>
  <c r="G2" i="7"/>
  <c r="F2" i="7"/>
  <c r="E2" i="7"/>
  <c r="H13" i="6"/>
  <c r="J3" i="6"/>
  <c r="I3" i="6"/>
  <c r="K2" i="6"/>
  <c r="J2" i="6"/>
  <c r="I2" i="6"/>
  <c r="H2" i="6"/>
  <c r="G2" i="6"/>
  <c r="F2" i="6"/>
  <c r="E2" i="6"/>
  <c r="F30" i="1"/>
  <c r="B30" i="1"/>
  <c r="K41" i="3" l="1"/>
  <c r="H41" i="3"/>
  <c r="G41" i="3"/>
  <c r="F41" i="3"/>
  <c r="E41" i="3"/>
  <c r="H42" i="3"/>
  <c r="G42" i="3"/>
  <c r="K38" i="3"/>
  <c r="F42" i="3" l="1"/>
  <c r="K42" i="3"/>
  <c r="E42" i="3"/>
  <c r="K2" i="18" l="1"/>
  <c r="J65" i="18" s="1"/>
  <c r="H2" i="18"/>
  <c r="G2" i="18"/>
  <c r="F2" i="18"/>
  <c r="E2" i="18"/>
  <c r="H65" i="18"/>
  <c r="G65" i="18"/>
  <c r="D1" i="18"/>
  <c r="A1" i="18"/>
  <c r="K2" i="17"/>
  <c r="J64" i="17" s="1"/>
  <c r="H2" i="17"/>
  <c r="G2" i="17"/>
  <c r="F2" i="17"/>
  <c r="E2" i="17"/>
  <c r="H64" i="17"/>
  <c r="G64" i="17"/>
  <c r="D1" i="17"/>
  <c r="A1" i="17"/>
  <c r="K10" i="16"/>
  <c r="K2" i="16"/>
  <c r="J65" i="16" s="1"/>
  <c r="E2" i="16"/>
  <c r="D1" i="16"/>
  <c r="A1" i="16"/>
  <c r="K10" i="10"/>
  <c r="K2" i="10"/>
  <c r="J65" i="10" s="1"/>
  <c r="E2" i="10"/>
  <c r="D1" i="10"/>
  <c r="A1" i="10"/>
  <c r="D1" i="12"/>
  <c r="A1" i="12"/>
  <c r="D1" i="11"/>
  <c r="A1" i="11"/>
  <c r="D1" i="9"/>
  <c r="A1" i="9"/>
  <c r="D1" i="8"/>
  <c r="A1" i="8"/>
  <c r="D1" i="7"/>
  <c r="A1" i="7"/>
  <c r="K3" i="6"/>
  <c r="H3" i="6"/>
  <c r="G3" i="6"/>
  <c r="F3" i="6"/>
  <c r="E3" i="6"/>
  <c r="K3" i="16" l="1"/>
  <c r="E3" i="17"/>
  <c r="F3" i="17"/>
  <c r="F3" i="18"/>
  <c r="G3" i="18"/>
  <c r="E3" i="18"/>
  <c r="H3" i="18"/>
  <c r="K3" i="18"/>
  <c r="K65" i="18"/>
  <c r="G3" i="17"/>
  <c r="K3" i="17"/>
  <c r="H3" i="17"/>
  <c r="K64" i="17"/>
  <c r="K65" i="16"/>
  <c r="E3" i="16"/>
  <c r="E3" i="10"/>
  <c r="K31" i="3"/>
  <c r="K9" i="3" l="1"/>
  <c r="H65" i="10" l="1"/>
  <c r="I63" i="12"/>
  <c r="I63" i="11"/>
  <c r="I63" i="9"/>
  <c r="I63" i="8"/>
  <c r="I63" i="7"/>
  <c r="I65" i="6"/>
  <c r="F32" i="1" l="1"/>
  <c r="F31" i="1"/>
  <c r="F29" i="1"/>
  <c r="I2" i="3" l="1"/>
  <c r="I41" i="3"/>
  <c r="I42" i="3" s="1"/>
  <c r="I2" i="17"/>
  <c r="I3" i="17" s="1"/>
  <c r="I2" i="16"/>
  <c r="I2" i="10"/>
  <c r="G31" i="1"/>
  <c r="G32" i="1"/>
  <c r="O33" i="3"/>
  <c r="K12" i="3"/>
  <c r="K8" i="3"/>
  <c r="H9" i="3"/>
  <c r="G9" i="3"/>
  <c r="F9" i="3"/>
  <c r="E9" i="3"/>
  <c r="B12" i="3"/>
  <c r="K2" i="3"/>
  <c r="K21" i="3"/>
  <c r="B21" i="3"/>
  <c r="K24" i="3"/>
  <c r="B24" i="3"/>
  <c r="K27" i="3"/>
  <c r="K28" i="3" s="1"/>
  <c r="K34" i="3"/>
  <c r="K35" i="3" s="1"/>
  <c r="B27" i="3"/>
  <c r="B34" i="3"/>
  <c r="J2" i="3" l="1"/>
  <c r="J13" i="17"/>
  <c r="K13" i="17" s="1"/>
  <c r="J41" i="3"/>
  <c r="J42" i="3" s="1"/>
  <c r="J2" i="17"/>
  <c r="J3" i="17" s="1"/>
  <c r="I3" i="16"/>
  <c r="K47" i="3"/>
  <c r="K48" i="3" s="1"/>
  <c r="H47" i="3"/>
  <c r="H48" i="3" s="1"/>
  <c r="G47" i="3"/>
  <c r="G48" i="3" s="1"/>
  <c r="F47" i="3"/>
  <c r="F48" i="3" s="1"/>
  <c r="E47" i="3"/>
  <c r="E48" i="3" s="1"/>
  <c r="J39" i="17" l="1"/>
  <c r="K39" i="17" s="1"/>
  <c r="F15" i="1"/>
  <c r="F14" i="1"/>
  <c r="D1" i="6" l="1"/>
  <c r="A1" i="6"/>
  <c r="F11" i="1"/>
  <c r="H63" i="12" l="1"/>
  <c r="H63" i="11"/>
  <c r="H63" i="9"/>
  <c r="H63" i="8"/>
  <c r="H63" i="7"/>
  <c r="K2" i="12" l="1"/>
  <c r="K63" i="12" s="1"/>
  <c r="K18" i="3"/>
  <c r="K15" i="3"/>
  <c r="K2" i="11"/>
  <c r="K63" i="11" s="1"/>
  <c r="F16" i="1"/>
  <c r="F13" i="1"/>
  <c r="F12" i="1"/>
  <c r="F8" i="1"/>
  <c r="F7" i="1"/>
  <c r="K2" i="9"/>
  <c r="K63" i="9" s="1"/>
  <c r="K2" i="8"/>
  <c r="K63" i="8" s="1"/>
  <c r="J23" i="3" l="1"/>
  <c r="I23" i="3"/>
  <c r="F23" i="3"/>
  <c r="K23" i="3"/>
  <c r="H23" i="3"/>
  <c r="K22" i="3"/>
  <c r="G23" i="3"/>
  <c r="E23" i="3"/>
  <c r="K26" i="3"/>
  <c r="I26" i="3"/>
  <c r="G26" i="3"/>
  <c r="E26" i="3"/>
  <c r="K25" i="3"/>
  <c r="J26" i="3"/>
  <c r="H26" i="3"/>
  <c r="F26" i="3"/>
  <c r="K3" i="3"/>
  <c r="L63" i="12"/>
  <c r="L63" i="11"/>
  <c r="L63" i="8" l="1"/>
  <c r="L63" i="9"/>
  <c r="G65" i="10"/>
  <c r="K2" i="7"/>
  <c r="K63" i="7" s="1"/>
  <c r="L63" i="7" l="1"/>
  <c r="H65" i="6"/>
  <c r="K65" i="6"/>
  <c r="K39" i="6"/>
  <c r="B47" i="3" l="1"/>
  <c r="B41" i="3"/>
  <c r="B18" i="3"/>
  <c r="B15" i="3"/>
  <c r="N60" i="3"/>
  <c r="G35" i="1" l="1"/>
  <c r="F36" i="1" l="1"/>
  <c r="F35" i="1"/>
  <c r="F34" i="1"/>
  <c r="F33" i="1"/>
  <c r="I2" i="18" l="1"/>
  <c r="I47" i="3"/>
  <c r="I48" i="3" s="1"/>
  <c r="K13" i="6"/>
  <c r="I3" i="18" l="1"/>
  <c r="J14" i="18"/>
  <c r="K14" i="18" s="1"/>
  <c r="L65" i="6"/>
  <c r="L13" i="6"/>
  <c r="L39" i="6"/>
  <c r="I34" i="3" l="1"/>
  <c r="I35" i="3" s="1"/>
  <c r="I27" i="3"/>
  <c r="I28" i="3" s="1"/>
  <c r="I3" i="3" l="1"/>
  <c r="I48" i="1"/>
  <c r="G48" i="1"/>
  <c r="E48" i="1"/>
  <c r="C48" i="1"/>
  <c r="I47" i="1"/>
  <c r="G47" i="1"/>
  <c r="E47" i="1"/>
  <c r="C47" i="1"/>
  <c r="I46" i="1"/>
  <c r="G46" i="1"/>
  <c r="E46" i="1"/>
  <c r="C46" i="1"/>
  <c r="I45" i="1"/>
  <c r="G45" i="1"/>
  <c r="E45" i="1"/>
  <c r="C45" i="1"/>
  <c r="I44" i="1"/>
  <c r="G44" i="1"/>
  <c r="E44" i="1"/>
  <c r="C44" i="1"/>
  <c r="I43" i="1"/>
  <c r="G43" i="1"/>
  <c r="E43" i="1"/>
  <c r="C43" i="1"/>
  <c r="I42" i="1"/>
  <c r="G42" i="1"/>
  <c r="E42" i="1"/>
  <c r="C42" i="1"/>
  <c r="I41" i="1"/>
  <c r="G41" i="1"/>
  <c r="E41" i="1"/>
  <c r="C41" i="1"/>
  <c r="D1" i="3" l="1"/>
  <c r="O60" i="3"/>
  <c r="D2" i="3"/>
  <c r="O4" i="3" l="1"/>
  <c r="M60" i="3" l="1"/>
  <c r="H35" i="1"/>
  <c r="G34" i="1"/>
  <c r="G33" i="1"/>
  <c r="G30" i="1"/>
  <c r="D30" i="1"/>
  <c r="C30" i="1"/>
  <c r="F19" i="1"/>
  <c r="F18" i="1"/>
  <c r="F17" i="1"/>
  <c r="F10" i="1"/>
  <c r="F9" i="1"/>
  <c r="F6" i="1"/>
  <c r="F5" i="1"/>
  <c r="F4" i="1"/>
  <c r="F3" i="1"/>
  <c r="K16" i="3" l="1"/>
  <c r="J17" i="3"/>
  <c r="H17" i="3"/>
  <c r="F17" i="3"/>
  <c r="K17" i="3"/>
  <c r="I17" i="3"/>
  <c r="G17" i="3"/>
  <c r="E17" i="3"/>
  <c r="K20" i="3"/>
  <c r="I20" i="3"/>
  <c r="G20" i="3"/>
  <c r="E20" i="3"/>
  <c r="J22" i="3"/>
  <c r="H22" i="3"/>
  <c r="K19" i="3"/>
  <c r="J20" i="3"/>
  <c r="H20" i="3"/>
  <c r="F20" i="3"/>
  <c r="I22" i="3"/>
  <c r="J27" i="3"/>
  <c r="J2" i="16"/>
  <c r="J40" i="16" s="1"/>
  <c r="K40" i="16" s="1"/>
  <c r="J2" i="10"/>
  <c r="J40" i="10" s="1"/>
  <c r="F2" i="16"/>
  <c r="F3" i="16"/>
  <c r="F2" i="10"/>
  <c r="G2" i="10"/>
  <c r="G2" i="16"/>
  <c r="G3" i="16"/>
  <c r="J2" i="18"/>
  <c r="J40" i="18" s="1"/>
  <c r="K40" i="18" s="1"/>
  <c r="G27" i="3"/>
  <c r="G34" i="3"/>
  <c r="G35" i="3" s="1"/>
  <c r="E27" i="3"/>
  <c r="E28" i="3" s="1"/>
  <c r="E34" i="3"/>
  <c r="E35" i="3" s="1"/>
  <c r="F34" i="3"/>
  <c r="F35" i="3" s="1"/>
  <c r="F27" i="3"/>
  <c r="F28" i="3" s="1"/>
  <c r="J34" i="3"/>
  <c r="J35" i="3" s="1"/>
  <c r="J47" i="3"/>
  <c r="J48" i="3" s="1"/>
  <c r="K38" i="12"/>
  <c r="L38" i="12" s="1"/>
  <c r="K38" i="11"/>
  <c r="L38" i="11" s="1"/>
  <c r="K38" i="9"/>
  <c r="L38" i="9" s="1"/>
  <c r="K38" i="8"/>
  <c r="L38" i="8" s="1"/>
  <c r="K38" i="7"/>
  <c r="L38" i="7" s="1"/>
  <c r="E30" i="1"/>
  <c r="J3" i="16" l="1"/>
  <c r="G28" i="3"/>
  <c r="G3" i="3" s="1"/>
  <c r="H2" i="16"/>
  <c r="J14" i="16" s="1"/>
  <c r="K14" i="16" s="1"/>
  <c r="H2" i="10"/>
  <c r="J14" i="10" s="1"/>
  <c r="J28" i="3"/>
  <c r="J3" i="18"/>
  <c r="G5" i="3"/>
  <c r="K5" i="3"/>
  <c r="P60" i="3" s="1"/>
  <c r="F3" i="3"/>
  <c r="E3" i="3"/>
  <c r="J5" i="3"/>
  <c r="P33" i="3" s="1"/>
  <c r="E5" i="3"/>
  <c r="I5" i="3"/>
  <c r="F5" i="3"/>
  <c r="H34" i="3"/>
  <c r="H35" i="3" s="1"/>
  <c r="H27" i="3"/>
  <c r="H28" i="3" s="1"/>
  <c r="M4" i="3"/>
  <c r="H5" i="3"/>
  <c r="K12" i="12"/>
  <c r="L12" i="12" s="1"/>
  <c r="K12" i="11"/>
  <c r="L12" i="11" s="1"/>
  <c r="K12" i="9"/>
  <c r="L12" i="9" s="1"/>
  <c r="K12" i="8"/>
  <c r="L12" i="8" s="1"/>
  <c r="K12" i="7"/>
  <c r="L12" i="7" s="1"/>
  <c r="H3" i="16" l="1"/>
  <c r="J3" i="3"/>
  <c r="N33" i="3" s="1"/>
  <c r="H3" i="3"/>
  <c r="N4" i="3" s="1"/>
  <c r="P4" i="3"/>
  <c r="M33" i="3"/>
  <c r="K40" i="10"/>
  <c r="I3" i="10"/>
  <c r="G3" i="10"/>
  <c r="H3" i="10"/>
  <c r="F3" i="10"/>
  <c r="K14" i="10"/>
  <c r="K3" i="10"/>
  <c r="K65" i="10"/>
  <c r="J3" i="10"/>
</calcChain>
</file>

<file path=xl/sharedStrings.xml><?xml version="1.0" encoding="utf-8"?>
<sst xmlns="http://schemas.openxmlformats.org/spreadsheetml/2006/main" count="549" uniqueCount="148">
  <si>
    <t>National Transit Data</t>
  </si>
  <si>
    <t>Energy/Fuel</t>
  </si>
  <si>
    <t>Unlinked Trips</t>
  </si>
  <si>
    <t>Vehicle -Miles</t>
  </si>
  <si>
    <t>Passenger-Miles</t>
  </si>
  <si>
    <t>PMT/Trip</t>
  </si>
  <si>
    <t>Seat-Miles</t>
  </si>
  <si>
    <t>Heavy Rail</t>
  </si>
  <si>
    <t>Congestion Relief (Cr)</t>
  </si>
  <si>
    <t>Annual NOx Emissions (tons)</t>
  </si>
  <si>
    <t>Annual NMHC Equivalent (tons)</t>
  </si>
  <si>
    <t>Annual CO Equivalent (tons)</t>
  </si>
  <si>
    <t>Annual PM Equivalent (tons)</t>
  </si>
  <si>
    <t>Annual CO2 Equivalent (tons)</t>
  </si>
  <si>
    <t>Land-Use Multiplier</t>
  </si>
  <si>
    <t>eGRID2012 Version 1.0 State File (Year 2009 Data)</t>
  </si>
  <si>
    <t>Average Vehicle Occupancy</t>
  </si>
  <si>
    <t xml:space="preserve">Nitriogen Oxides </t>
  </si>
  <si>
    <t>Nonmethane Hydrocarbons</t>
  </si>
  <si>
    <t>Carbon Monoxide</t>
  </si>
  <si>
    <t>Particulate Matter</t>
  </si>
  <si>
    <t>Greenhouse Gas</t>
  </si>
  <si>
    <t>Gasoline Gallon Equivalent(GGE)</t>
  </si>
  <si>
    <t>Commuter Rail (grams/gallon)</t>
  </si>
  <si>
    <t>Bus -CNG (grams/mile)</t>
  </si>
  <si>
    <t>DGE</t>
  </si>
  <si>
    <t>Bus -Diesel (grams/mile)</t>
  </si>
  <si>
    <t>Vanpool -CNG (grams/mile)</t>
  </si>
  <si>
    <t>Vanpool -Diesel (grams/mile)</t>
  </si>
  <si>
    <t>Vanpool -Gas (grams/mile)</t>
  </si>
  <si>
    <t>gal/mile</t>
  </si>
  <si>
    <t>Single Occupied Car (grams/mile)</t>
  </si>
  <si>
    <t>1) 20120227-Diesel_vs_CNG_FINAL_MJBD.pdf, www.mjbradley.com</t>
  </si>
  <si>
    <t>Seat Capacity</t>
  </si>
  <si>
    <t>Rider Savings</t>
  </si>
  <si>
    <t>Fuel - GGE</t>
  </si>
  <si>
    <t>Light Rail</t>
  </si>
  <si>
    <t>Increased Savings</t>
  </si>
  <si>
    <t>Transit Emission Effects</t>
  </si>
  <si>
    <t>Savings From Transit Use</t>
  </si>
  <si>
    <t>6) http://mobility.tamu.edu/ums/ Excel spreadsheet - 101 urban areas</t>
  </si>
  <si>
    <t>Diesel</t>
  </si>
  <si>
    <t>Electric</t>
  </si>
  <si>
    <t>CNG</t>
  </si>
  <si>
    <t>Gasoline</t>
  </si>
  <si>
    <t>Gasoline Gallon Equivalents Saved By Transit</t>
  </si>
  <si>
    <t>Savings From Increased Ridership</t>
  </si>
  <si>
    <t>2) Guidebook For Evaluating Fuel Choices For Post-2010 Transit Bus Procurement, TCRP Report 146, Library of Congress Control Number 2011929842</t>
  </si>
  <si>
    <t>3) Full Fuel Cycle Assessment: Well-To-Wheels Inputs, Emissions, And Water Impacts, TIAX LLC, June 2007, CEC-600-2007-004-F</t>
  </si>
  <si>
    <t>4) Quantifying Greenhouse Gas Emissions from Transit, APTA SUDS-CC-RP-001-09</t>
  </si>
  <si>
    <t>5) eGRID2012V1_0_year09_DATA.xls</t>
  </si>
  <si>
    <t>Mode Shift (Ms)</t>
  </si>
  <si>
    <t>Diesel Locomotive Line - Haul Emission Factors</t>
  </si>
  <si>
    <r>
      <t>PM</t>
    </r>
    <r>
      <rPr>
        <vertAlign val="subscript"/>
        <sz val="11"/>
        <color theme="1"/>
        <rFont val="Calibri"/>
        <family val="2"/>
        <scheme val="minor"/>
      </rPr>
      <t>10</t>
    </r>
  </si>
  <si>
    <t>HC</t>
  </si>
  <si>
    <t>NOx</t>
  </si>
  <si>
    <t>CO</t>
  </si>
  <si>
    <t>g/bhp-hr</t>
  </si>
  <si>
    <t>g/gallon</t>
  </si>
  <si>
    <t>Tier 0</t>
  </si>
  <si>
    <t>Tier 0+</t>
  </si>
  <si>
    <t>Tier 1</t>
  </si>
  <si>
    <t>Tier 1+</t>
  </si>
  <si>
    <t>Tier 2</t>
  </si>
  <si>
    <t>Tier 2+</t>
  </si>
  <si>
    <t>Tier 3</t>
  </si>
  <si>
    <t>Tier 4</t>
  </si>
  <si>
    <t>* Large Line-Haul and Passenger Conversion Factor (bhp-hr/gal) = 20.8</t>
  </si>
  <si>
    <t>EPA State and County Emission Summaries (Year 2008 Data)</t>
  </si>
  <si>
    <t>Megawatt-Hours (MWh)</t>
  </si>
  <si>
    <t>Annual SO2 Equivalent (tons)</t>
  </si>
  <si>
    <t>Sulfur Oxides</t>
  </si>
  <si>
    <t>8) Average Annual Emissions and Fuel Consumption for Gasoline-Fueled Passenger Cars and Light Trucks, Office of Transportation and Air Quality, EPA420-F-08-024, October 2008</t>
  </si>
  <si>
    <t>Ridership Increase %</t>
  </si>
  <si>
    <t>Comm Rail - Diesel</t>
  </si>
  <si>
    <t>Effect of Transit Use Rather Than Driving</t>
  </si>
  <si>
    <t>Congestion Mitigation Effects</t>
  </si>
  <si>
    <t>Compact Land-Use Effects</t>
  </si>
  <si>
    <t>Net Savings From Transit</t>
  </si>
  <si>
    <t>Gasoline Gallon Equivalents Saved by Transit</t>
  </si>
  <si>
    <t>Comm Rail - Electric</t>
  </si>
  <si>
    <t>Bus - Diesel</t>
  </si>
  <si>
    <t>Bus - CNG</t>
  </si>
  <si>
    <t>Transit Energy Usage</t>
  </si>
  <si>
    <t>Electric Propulsion (grams/kWh)</t>
  </si>
  <si>
    <t>Streetcar</t>
  </si>
  <si>
    <t>Trolley Bus</t>
  </si>
  <si>
    <t>Bus - Electric</t>
  </si>
  <si>
    <t>Pounds=453.6 grams/lbs</t>
  </si>
  <si>
    <t>Tons=907200 grams/ton</t>
  </si>
  <si>
    <t>Must Be: &lt;=1</t>
  </si>
  <si>
    <t>Gallons of Gas</t>
  </si>
  <si>
    <t>National Average</t>
  </si>
  <si>
    <t>Must Be: &gt;=1</t>
  </si>
  <si>
    <t>Vanpool - CNG</t>
  </si>
  <si>
    <t>Vanpool - Diesel</t>
  </si>
  <si>
    <t>Vanpool - Gasoline</t>
  </si>
  <si>
    <t>Commuter Rail (CR)</t>
  </si>
  <si>
    <t>Heavy Rail (HR)</t>
  </si>
  <si>
    <t>Light Rail (LR)</t>
  </si>
  <si>
    <t>Vanpool (VP)</t>
  </si>
  <si>
    <t>% Increase Riders</t>
  </si>
  <si>
    <t>Commuter Bus (CB)</t>
  </si>
  <si>
    <t>Current Fleet</t>
  </si>
  <si>
    <t>Emissions From Fleet Upgrade</t>
  </si>
  <si>
    <t>Current Transit Emission</t>
  </si>
  <si>
    <t>Fleet Upgrade</t>
  </si>
  <si>
    <t>Bus Rapid Transit (RB)</t>
  </si>
  <si>
    <t>Fixed Route Bus (MB)</t>
  </si>
  <si>
    <t>Trolley Bus (TB)</t>
  </si>
  <si>
    <t>Streetcar (ST)</t>
  </si>
  <si>
    <t>Fuel SavingsFrom Fleet Upgrade</t>
  </si>
  <si>
    <t>`</t>
  </si>
  <si>
    <t>Tier</t>
  </si>
  <si>
    <t>Current Ridership</t>
  </si>
  <si>
    <t>% Fleet Change</t>
  </si>
  <si>
    <t>kWh/mile</t>
  </si>
  <si>
    <t>miles/gallon</t>
  </si>
  <si>
    <t>miles/GGE</t>
  </si>
  <si>
    <t>Fleet Change %</t>
  </si>
  <si>
    <t>CNG Fleet %</t>
  </si>
  <si>
    <t>Diesel Fleet %</t>
  </si>
  <si>
    <t>Electric Fleet %</t>
  </si>
  <si>
    <t>MPG</t>
  </si>
  <si>
    <t>Fixed Route Bus (CNG - GGE)</t>
  </si>
  <si>
    <t>Commuter Rail (Diesel - Gal)</t>
  </si>
  <si>
    <t>Commuter Rail (Electric - kWh)</t>
  </si>
  <si>
    <t>Heavy Rail (Electric - kWh)</t>
  </si>
  <si>
    <t>Light Rail (Electric - kWh)</t>
  </si>
  <si>
    <t>Streetcar (Electric - kWh)</t>
  </si>
  <si>
    <t>Trolley Bus (Electric - kWh)</t>
  </si>
  <si>
    <t>Fixed Route Bus(Electric - kWh)</t>
  </si>
  <si>
    <t>Bus Rapid Transit(Electric - kWh)</t>
  </si>
  <si>
    <t>Fixed Route Bus(Diesel - Gal)</t>
  </si>
  <si>
    <t>Bus Rapid Transit (Diesel - Gal)</t>
  </si>
  <si>
    <t>Commuter Bus (Diesel - Gal)</t>
  </si>
  <si>
    <t>Vanpool (Diesel - Gal)</t>
  </si>
  <si>
    <t>Bus Rapid Transit (CNG - GGE)</t>
  </si>
  <si>
    <t>Commuter Bus (CNG - GGE)</t>
  </si>
  <si>
    <t>Vanpool (CNG - GGE)</t>
  </si>
  <si>
    <t>Vanpool (Gasoline - Gal)</t>
  </si>
  <si>
    <t>Increased Ridership</t>
  </si>
  <si>
    <t>Fixed Route Bus</t>
  </si>
  <si>
    <t>Bus Rapid Transit</t>
  </si>
  <si>
    <t>Commuter Bus</t>
  </si>
  <si>
    <t>Vanpool</t>
  </si>
  <si>
    <t>Gasoline Fleet %</t>
  </si>
  <si>
    <t>7) http://www3.epa.gov/ttn/chief/net/2011inventory.html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</si>
</sst>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vertAlign val="sub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63377788628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1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Protection="1"/>
    <xf numFmtId="0" fontId="0" fillId="0" borderId="7" xfId="0" applyBorder="1" applyProtection="1"/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2" borderId="5" xfId="0" applyFill="1" applyBorder="1" applyProtection="1"/>
    <xf numFmtId="0" fontId="0" fillId="0" borderId="9" xfId="0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NumberFormat="1" applyFill="1" applyBorder="1" applyProtection="1"/>
    <xf numFmtId="164" fontId="0" fillId="2" borderId="5" xfId="0" applyNumberFormat="1" applyFill="1" applyBorder="1" applyProtection="1"/>
    <xf numFmtId="2" fontId="0" fillId="2" borderId="2" xfId="0" applyNumberFormat="1" applyFill="1" applyBorder="1" applyProtection="1"/>
    <xf numFmtId="2" fontId="0" fillId="2" borderId="5" xfId="0" applyNumberFormat="1" applyFill="1" applyBorder="1" applyProtection="1"/>
    <xf numFmtId="0" fontId="0" fillId="2" borderId="10" xfId="0" applyFill="1" applyBorder="1" applyProtection="1"/>
    <xf numFmtId="0" fontId="0" fillId="0" borderId="0" xfId="0" applyFill="1" applyBorder="1"/>
    <xf numFmtId="0" fontId="1" fillId="0" borderId="0" xfId="0" applyFont="1" applyAlignment="1"/>
    <xf numFmtId="0" fontId="2" fillId="0" borderId="0" xfId="0" applyFont="1" applyAlignment="1"/>
    <xf numFmtId="165" fontId="0" fillId="2" borderId="2" xfId="0" applyNumberFormat="1" applyFill="1" applyBorder="1"/>
    <xf numFmtId="164" fontId="0" fillId="0" borderId="0" xfId="0" applyNumberFormat="1" applyFill="1" applyBorder="1" applyProtection="1"/>
    <xf numFmtId="0" fontId="0" fillId="0" borderId="5" xfId="0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166" fontId="0" fillId="3" borderId="1" xfId="0" applyNumberFormat="1" applyFill="1" applyBorder="1" applyProtection="1"/>
    <xf numFmtId="166" fontId="0" fillId="3" borderId="5" xfId="0" applyNumberFormat="1" applyFill="1" applyBorder="1" applyProtection="1"/>
    <xf numFmtId="166" fontId="0" fillId="3" borderId="2" xfId="0" applyNumberFormat="1" applyFill="1" applyBorder="1" applyProtection="1"/>
    <xf numFmtId="166" fontId="0" fillId="3" borderId="3" xfId="0" applyNumberFormat="1" applyFill="1" applyBorder="1" applyProtection="1"/>
    <xf numFmtId="0" fontId="3" fillId="0" borderId="0" xfId="0" quotePrefix="1" applyFont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/>
    <xf numFmtId="0" fontId="0" fillId="0" borderId="1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2" xfId="0" applyBorder="1" applyProtection="1"/>
    <xf numFmtId="0" fontId="0" fillId="0" borderId="8" xfId="0" applyBorder="1" applyProtection="1"/>
    <xf numFmtId="0" fontId="0" fillId="0" borderId="9" xfId="0" applyBorder="1" applyProtection="1"/>
    <xf numFmtId="3" fontId="0" fillId="4" borderId="2" xfId="0" applyNumberFormat="1" applyFill="1" applyBorder="1" applyProtection="1"/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3" fontId="0" fillId="0" borderId="0" xfId="0" applyNumberFormat="1"/>
    <xf numFmtId="3" fontId="0" fillId="0" borderId="4" xfId="0" applyNumberFormat="1" applyBorder="1"/>
    <xf numFmtId="3" fontId="0" fillId="0" borderId="6" xfId="0" applyNumberFormat="1" applyBorder="1"/>
    <xf numFmtId="3" fontId="0" fillId="0" borderId="3" xfId="0" applyNumberFormat="1" applyBorder="1"/>
    <xf numFmtId="0" fontId="0" fillId="0" borderId="8" xfId="0" applyBorder="1" applyAlignment="1" applyProtection="1">
      <alignment horizontal="center"/>
    </xf>
    <xf numFmtId="2" fontId="0" fillId="2" borderId="6" xfId="0" applyNumberFormat="1" applyFill="1" applyBorder="1" applyProtection="1"/>
    <xf numFmtId="3" fontId="0" fillId="4" borderId="5" xfId="0" applyNumberFormat="1" applyFill="1" applyBorder="1" applyProtection="1"/>
    <xf numFmtId="165" fontId="0" fillId="2" borderId="5" xfId="0" applyNumberFormat="1" applyFill="1" applyBorder="1"/>
    <xf numFmtId="3" fontId="0" fillId="3" borderId="5" xfId="0" applyNumberFormat="1" applyFill="1" applyBorder="1" applyProtection="1">
      <protection locked="0"/>
    </xf>
    <xf numFmtId="3" fontId="0" fillId="3" borderId="2" xfId="0" applyNumberFormat="1" applyFill="1" applyBorder="1" applyProtection="1"/>
    <xf numFmtId="3" fontId="0" fillId="2" borderId="5" xfId="0" applyNumberFormat="1" applyFill="1" applyBorder="1" applyProtection="1"/>
    <xf numFmtId="3" fontId="0" fillId="2" borderId="2" xfId="0" applyNumberFormat="1" applyFill="1" applyBorder="1" applyProtection="1"/>
    <xf numFmtId="166" fontId="0" fillId="3" borderId="6" xfId="0" applyNumberFormat="1" applyFill="1" applyBorder="1" applyProtection="1"/>
    <xf numFmtId="165" fontId="0" fillId="2" borderId="5" xfId="0" applyNumberFormat="1" applyFill="1" applyBorder="1" applyProtection="1"/>
    <xf numFmtId="165" fontId="0" fillId="2" borderId="6" xfId="0" applyNumberFormat="1" applyFill="1" applyBorder="1"/>
    <xf numFmtId="166" fontId="0" fillId="3" borderId="4" xfId="0" applyNumberFormat="1" applyFill="1" applyBorder="1" applyProtection="1"/>
    <xf numFmtId="3" fontId="0" fillId="2" borderId="6" xfId="0" applyNumberFormat="1" applyFill="1" applyBorder="1" applyProtection="1"/>
    <xf numFmtId="3" fontId="0" fillId="2" borderId="3" xfId="0" applyNumberFormat="1" applyFill="1" applyBorder="1" applyProtection="1"/>
    <xf numFmtId="0" fontId="0" fillId="3" borderId="8" xfId="0" applyFill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2" xfId="0" applyBorder="1"/>
    <xf numFmtId="2" fontId="0" fillId="0" borderId="5" xfId="0" applyNumberFormat="1" applyBorder="1"/>
    <xf numFmtId="2" fontId="0" fillId="0" borderId="14" xfId="0" applyNumberFormat="1" applyBorder="1"/>
    <xf numFmtId="0" fontId="0" fillId="0" borderId="1" xfId="0" applyFill="1" applyBorder="1"/>
    <xf numFmtId="0" fontId="0" fillId="0" borderId="4" xfId="0" applyFill="1" applyBorder="1"/>
    <xf numFmtId="2" fontId="0" fillId="0" borderId="6" xfId="0" applyNumberFormat="1" applyBorder="1"/>
    <xf numFmtId="2" fontId="0" fillId="0" borderId="15" xfId="0" applyNumberFormat="1" applyBorder="1"/>
    <xf numFmtId="2" fontId="0" fillId="2" borderId="3" xfId="0" applyNumberFormat="1" applyFill="1" applyBorder="1" applyProtection="1"/>
    <xf numFmtId="0" fontId="0" fillId="0" borderId="16" xfId="0" applyFill="1" applyBorder="1"/>
    <xf numFmtId="0" fontId="0" fillId="3" borderId="5" xfId="0" applyFill="1" applyBorder="1" applyProtection="1">
      <protection locked="0"/>
    </xf>
    <xf numFmtId="0" fontId="0" fillId="0" borderId="4" xfId="0" applyFill="1" applyBorder="1" applyAlignment="1" applyProtection="1">
      <alignment wrapText="1"/>
    </xf>
    <xf numFmtId="3" fontId="0" fillId="6" borderId="4" xfId="0" applyNumberFormat="1" applyFill="1" applyBorder="1"/>
    <xf numFmtId="3" fontId="0" fillId="6" borderId="6" xfId="0" applyNumberFormat="1" applyFill="1" applyBorder="1"/>
    <xf numFmtId="3" fontId="0" fillId="6" borderId="3" xfId="0" applyNumberFormat="1" applyFill="1" applyBorder="1"/>
    <xf numFmtId="3" fontId="0" fillId="4" borderId="4" xfId="0" applyNumberFormat="1" applyFill="1" applyBorder="1"/>
    <xf numFmtId="3" fontId="0" fillId="4" borderId="6" xfId="0" applyNumberFormat="1" applyFill="1" applyBorder="1"/>
    <xf numFmtId="3" fontId="0" fillId="4" borderId="3" xfId="0" applyNumberFormat="1" applyFill="1" applyBorder="1"/>
    <xf numFmtId="3" fontId="0" fillId="2" borderId="5" xfId="0" applyNumberFormat="1" applyFill="1" applyBorder="1"/>
    <xf numFmtId="0" fontId="0" fillId="0" borderId="7" xfId="0" applyFill="1" applyBorder="1" applyAlignment="1" applyProtection="1">
      <alignment vertical="center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 applyProtection="1">
      <alignment wrapText="1"/>
    </xf>
    <xf numFmtId="0" fontId="0" fillId="5" borderId="9" xfId="0" applyFill="1" applyBorder="1" applyProtection="1"/>
    <xf numFmtId="3" fontId="0" fillId="5" borderId="2" xfId="0" applyNumberFormat="1" applyFill="1" applyBorder="1" applyProtection="1"/>
    <xf numFmtId="0" fontId="0" fillId="5" borderId="2" xfId="0" applyFill="1" applyBorder="1" applyProtection="1"/>
    <xf numFmtId="10" fontId="0" fillId="5" borderId="3" xfId="0" applyNumberFormat="1" applyFill="1" applyBorder="1" applyProtection="1"/>
    <xf numFmtId="10" fontId="0" fillId="0" borderId="20" xfId="0" applyNumberFormat="1" applyFill="1" applyBorder="1" applyProtection="1"/>
    <xf numFmtId="0" fontId="0" fillId="0" borderId="20" xfId="0" applyFill="1" applyBorder="1" applyProtection="1"/>
    <xf numFmtId="0" fontId="0" fillId="0" borderId="0" xfId="0" applyBorder="1" applyProtection="1"/>
    <xf numFmtId="3" fontId="0" fillId="0" borderId="0" xfId="0" applyNumberFormat="1" applyFill="1" applyBorder="1" applyProtection="1"/>
    <xf numFmtId="0" fontId="0" fillId="0" borderId="0" xfId="0" applyBorder="1"/>
    <xf numFmtId="0" fontId="0" fillId="0" borderId="1" xfId="0" applyFill="1" applyBorder="1" applyProtection="1"/>
    <xf numFmtId="0" fontId="0" fillId="0" borderId="13" xfId="0" applyBorder="1"/>
    <xf numFmtId="3" fontId="0" fillId="2" borderId="4" xfId="0" applyNumberFormat="1" applyFill="1" applyBorder="1"/>
    <xf numFmtId="3" fontId="0" fillId="2" borderId="6" xfId="0" applyNumberFormat="1" applyFill="1" applyBorder="1"/>
    <xf numFmtId="3" fontId="0" fillId="2" borderId="3" xfId="0" applyNumberFormat="1" applyFill="1" applyBorder="1"/>
    <xf numFmtId="0" fontId="0" fillId="0" borderId="23" xfId="0" applyBorder="1" applyAlignment="1">
      <alignment horizontal="center"/>
    </xf>
    <xf numFmtId="0" fontId="0" fillId="0" borderId="11" xfId="0" applyBorder="1"/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0" fillId="2" borderId="24" xfId="0" applyNumberFormat="1" applyFill="1" applyBorder="1" applyProtection="1"/>
    <xf numFmtId="3" fontId="0" fillId="2" borderId="21" xfId="0" applyNumberFormat="1" applyFill="1" applyBorder="1" applyProtection="1"/>
    <xf numFmtId="0" fontId="0" fillId="0" borderId="25" xfId="0" applyFill="1" applyBorder="1" applyProtection="1"/>
    <xf numFmtId="3" fontId="0" fillId="0" borderId="25" xfId="0" applyNumberFormat="1" applyFill="1" applyBorder="1" applyProtection="1"/>
    <xf numFmtId="0" fontId="0" fillId="0" borderId="9" xfId="0" applyBorder="1"/>
    <xf numFmtId="0" fontId="0" fillId="0" borderId="3" xfId="0" applyBorder="1" applyProtection="1"/>
    <xf numFmtId="0" fontId="0" fillId="0" borderId="22" xfId="0" applyBorder="1"/>
    <xf numFmtId="0" fontId="0" fillId="0" borderId="16" xfId="0" applyBorder="1" applyAlignment="1">
      <alignment horizontal="center"/>
    </xf>
    <xf numFmtId="3" fontId="0" fillId="4" borderId="8" xfId="0" applyNumberFormat="1" applyFill="1" applyBorder="1" applyProtection="1"/>
    <xf numFmtId="3" fontId="0" fillId="4" borderId="9" xfId="0" applyNumberFormat="1" applyFill="1" applyBorder="1" applyProtection="1"/>
    <xf numFmtId="9" fontId="0" fillId="5" borderId="1" xfId="0" applyNumberFormat="1" applyFill="1" applyBorder="1" applyProtection="1">
      <protection locked="0"/>
    </xf>
    <xf numFmtId="9" fontId="0" fillId="5" borderId="4" xfId="0" applyNumberFormat="1" applyFill="1" applyBorder="1" applyProtection="1">
      <protection locked="0"/>
    </xf>
    <xf numFmtId="9" fontId="0" fillId="5" borderId="27" xfId="0" applyNumberFormat="1" applyFill="1" applyBorder="1" applyProtection="1">
      <protection locked="0"/>
    </xf>
    <xf numFmtId="0" fontId="0" fillId="0" borderId="28" xfId="0" applyBorder="1" applyAlignment="1">
      <alignment wrapText="1"/>
    </xf>
    <xf numFmtId="3" fontId="0" fillId="0" borderId="29" xfId="0" applyNumberFormat="1" applyBorder="1"/>
    <xf numFmtId="3" fontId="0" fillId="4" borderId="5" xfId="0" applyNumberFormat="1" applyFill="1" applyBorder="1"/>
    <xf numFmtId="3" fontId="0" fillId="4" borderId="22" xfId="0" applyNumberFormat="1" applyFill="1" applyBorder="1" applyProtection="1"/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/>
    <xf numFmtId="0" fontId="0" fillId="0" borderId="7" xfId="0" applyBorder="1" applyAlignment="1" applyProtection="1">
      <alignment horizontal="center"/>
    </xf>
    <xf numFmtId="3" fontId="0" fillId="3" borderId="6" xfId="0" applyNumberFormat="1" applyFill="1" applyBorder="1" applyProtection="1">
      <protection locked="0"/>
    </xf>
    <xf numFmtId="3" fontId="0" fillId="3" borderId="3" xfId="0" applyNumberFormat="1" applyFill="1" applyBorder="1" applyProtection="1"/>
    <xf numFmtId="165" fontId="0" fillId="2" borderId="6" xfId="0" applyNumberFormat="1" applyFill="1" applyBorder="1" applyProtection="1"/>
    <xf numFmtId="10" fontId="0" fillId="5" borderId="4" xfId="0" applyNumberFormat="1" applyFill="1" applyBorder="1" applyProtection="1"/>
    <xf numFmtId="3" fontId="0" fillId="2" borderId="1" xfId="0" applyNumberFormat="1" applyFill="1" applyBorder="1" applyProtection="1"/>
    <xf numFmtId="3" fontId="0" fillId="4" borderId="7" xfId="0" applyNumberFormat="1" applyFill="1" applyBorder="1" applyProtection="1"/>
    <xf numFmtId="3" fontId="0" fillId="4" borderId="1" xfId="0" applyNumberFormat="1" applyFill="1" applyBorder="1" applyProtection="1"/>
    <xf numFmtId="2" fontId="0" fillId="3" borderId="5" xfId="0" applyNumberFormat="1" applyFill="1" applyBorder="1" applyProtection="1">
      <protection locked="0"/>
    </xf>
    <xf numFmtId="0" fontId="0" fillId="0" borderId="31" xfId="0" applyBorder="1" applyAlignment="1" applyProtection="1">
      <alignment horizontal="center" vertical="center"/>
    </xf>
    <xf numFmtId="1" fontId="0" fillId="5" borderId="2" xfId="0" applyNumberFormat="1" applyFill="1" applyBorder="1" applyProtection="1">
      <protection locked="0"/>
    </xf>
    <xf numFmtId="1" fontId="0" fillId="0" borderId="32" xfId="0" applyNumberFormat="1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33" xfId="0" applyBorder="1" applyProtection="1"/>
    <xf numFmtId="0" fontId="0" fillId="5" borderId="2" xfId="0" applyNumberFormat="1" applyFill="1" applyBorder="1" applyAlignment="1" applyProtection="1">
      <alignment horizontal="center"/>
      <protection locked="0"/>
    </xf>
    <xf numFmtId="10" fontId="0" fillId="5" borderId="2" xfId="0" applyNumberFormat="1" applyFill="1" applyBorder="1" applyProtection="1"/>
    <xf numFmtId="0" fontId="0" fillId="5" borderId="2" xfId="0" applyNumberFormat="1" applyFill="1" applyBorder="1" applyProtection="1"/>
    <xf numFmtId="10" fontId="0" fillId="0" borderId="0" xfId="0" applyNumberFormat="1" applyFill="1" applyBorder="1" applyProtection="1"/>
    <xf numFmtId="0" fontId="0" fillId="0" borderId="1" xfId="0" applyBorder="1" applyAlignment="1" applyProtection="1">
      <alignment wrapText="1"/>
    </xf>
    <xf numFmtId="0" fontId="0" fillId="5" borderId="28" xfId="0" applyNumberFormat="1" applyFill="1" applyBorder="1" applyAlignment="1" applyProtection="1">
      <alignment horizontal="center"/>
    </xf>
    <xf numFmtId="0" fontId="0" fillId="5" borderId="2" xfId="0" applyNumberFormat="1" applyFill="1" applyBorder="1" applyAlignment="1" applyProtection="1">
      <alignment horizontal="center"/>
    </xf>
    <xf numFmtId="10" fontId="0" fillId="0" borderId="16" xfId="0" applyNumberFormat="1" applyFill="1" applyBorder="1" applyProtection="1"/>
    <xf numFmtId="0" fontId="0" fillId="0" borderId="4" xfId="0" applyFill="1" applyBorder="1" applyProtection="1"/>
    <xf numFmtId="3" fontId="0" fillId="4" borderId="6" xfId="0" applyNumberFormat="1" applyFill="1" applyBorder="1" applyProtection="1"/>
    <xf numFmtId="3" fontId="0" fillId="4" borderId="3" xfId="0" applyNumberFormat="1" applyFill="1" applyBorder="1" applyProtection="1"/>
    <xf numFmtId="0" fontId="0" fillId="0" borderId="7" xfId="0" applyFill="1" applyBorder="1" applyProtection="1"/>
    <xf numFmtId="0" fontId="0" fillId="0" borderId="11" xfId="0" applyBorder="1" applyAlignment="1">
      <alignment horizontal="center"/>
    </xf>
    <xf numFmtId="165" fontId="0" fillId="3" borderId="5" xfId="0" applyNumberFormat="1" applyFill="1" applyBorder="1" applyProtection="1">
      <protection locked="0"/>
    </xf>
    <xf numFmtId="0" fontId="0" fillId="0" borderId="8" xfId="0" applyFill="1" applyBorder="1" applyAlignment="1" applyProtection="1">
      <alignment horizontal="center" wrapText="1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0" fillId="5" borderId="2" xfId="0" applyFill="1" applyBorder="1" applyAlignment="1" applyProtection="1">
      <alignment horizontal="right" vertical="center"/>
    </xf>
    <xf numFmtId="0" fontId="0" fillId="0" borderId="2" xfId="0" applyBorder="1" applyAlignment="1">
      <alignment horizontal="right" vertical="center"/>
    </xf>
    <xf numFmtId="0" fontId="0" fillId="5" borderId="21" xfId="0" applyFill="1" applyBorder="1" applyAlignment="1" applyProtection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 applyProtection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6737179487179644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5937296828722"/>
          <c:y val="0.18338196006749155"/>
          <c:w val="0.77258975655565987"/>
          <c:h val="0.68245887232845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Diesel'!$E$1</c:f>
              <c:strCache>
                <c:ptCount val="1"/>
                <c:pt idx="0">
                  <c:v>Nitrogen Oxides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Diesel'!$D$2:$D$6</c:f>
              <c:strCache>
                <c:ptCount val="5"/>
                <c:pt idx="0">
                  <c:v>Comm Rail - Diesel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Savings</c:v>
                </c:pt>
                <c:pt idx="4">
                  <c:v>Seat Capacity</c:v>
                </c:pt>
              </c:strCache>
            </c:strRef>
          </c:cat>
          <c:val>
            <c:numRef>
              <c:f>'Comm Rail - Diesel'!$E$2:$E$6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3071328"/>
        <c:axId val="363071720"/>
      </c:barChart>
      <c:catAx>
        <c:axId val="36307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3071720"/>
        <c:crosses val="autoZero"/>
        <c:auto val="1"/>
        <c:lblAlgn val="ctr"/>
        <c:lblOffset val="100"/>
        <c:noMultiLvlLbl val="0"/>
      </c:catAx>
      <c:valAx>
        <c:axId val="3630717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3071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7834019327129563"/>
          <c:y val="0.15878328486947432"/>
          <c:w val="0.78943754473872585"/>
          <c:h val="0.72178586597837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Diesel'!$I$1</c:f>
              <c:strCache>
                <c:ptCount val="1"/>
                <c:pt idx="0">
                  <c:v>Sulfur Oxides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Diesel'!$D$2:$D$6</c:f>
              <c:strCache>
                <c:ptCount val="5"/>
                <c:pt idx="0">
                  <c:v>Comm Rail - Diesel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Savings</c:v>
                </c:pt>
                <c:pt idx="4">
                  <c:v>Seat Capacity</c:v>
                </c:pt>
              </c:strCache>
            </c:strRef>
          </c:cat>
          <c:val>
            <c:numRef>
              <c:f>'Comm Rail - Diesel'!$I$2:$I$6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4310880"/>
        <c:axId val="364070072"/>
      </c:barChart>
      <c:catAx>
        <c:axId val="23431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070072"/>
        <c:crosses val="autoZero"/>
        <c:auto val="1"/>
        <c:lblAlgn val="ctr"/>
        <c:lblOffset val="100"/>
        <c:noMultiLvlLbl val="0"/>
      </c:catAx>
      <c:valAx>
        <c:axId val="364070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310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Vanpool!$K$1</c:f>
              <c:strCache>
                <c:ptCount val="1"/>
                <c:pt idx="0">
                  <c:v>Fuel - GGE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Vanpool!$D$2:$D$6</c:f>
              <c:strCache>
                <c:ptCount val="5"/>
                <c:pt idx="0">
                  <c:v>Vanpool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Vanpool!$K$2:$K$6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9529696"/>
        <c:axId val="369530088"/>
      </c:barChart>
      <c:catAx>
        <c:axId val="36952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530088"/>
        <c:crosses val="autoZero"/>
        <c:auto val="1"/>
        <c:lblAlgn val="ctr"/>
        <c:lblOffset val="100"/>
        <c:noMultiLvlLbl val="0"/>
      </c:catAx>
      <c:valAx>
        <c:axId val="3695300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952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35069895587108"/>
          <c:y val="0.16631291822310607"/>
          <c:w val="0.82010566522127082"/>
          <c:h val="0.72191278721738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'Transit Agency'!$M$2</c:f>
              <c:strCache>
                <c:ptCount val="1"/>
                <c:pt idx="0">
                  <c:v>Criteria Air Pollutants Mitigated By Transit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'Transit Agency'!$M$3:$P$3</c:f>
              <c:strCache>
                <c:ptCount val="4"/>
                <c:pt idx="0">
                  <c:v>Current Transit Emission</c:v>
                </c:pt>
                <c:pt idx="1">
                  <c:v>Emissions From Fleet Upgrade</c:v>
                </c:pt>
                <c:pt idx="2">
                  <c:v>Savings From Transit Use</c:v>
                </c:pt>
                <c:pt idx="3">
                  <c:v>Savings From Increased Ridership</c:v>
                </c:pt>
              </c:strCache>
            </c:strRef>
          </c:cat>
          <c:val>
            <c:numRef>
              <c:f>'Transit Agency'!$M$4:$P$4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9531264"/>
        <c:axId val="369531656"/>
      </c:barChart>
      <c:catAx>
        <c:axId val="36953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369531656"/>
        <c:crosses val="autoZero"/>
        <c:auto val="1"/>
        <c:lblAlgn val="ctr"/>
        <c:lblOffset val="0"/>
        <c:noMultiLvlLbl val="0"/>
      </c:catAx>
      <c:valAx>
        <c:axId val="3695316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953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331491366760069"/>
          <c:y val="0.16774044605680835"/>
          <c:w val="0.81414145050954134"/>
          <c:h val="0.70952563856347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'Transit Agency'!$M$31</c:f>
              <c:strCache>
                <c:ptCount val="1"/>
                <c:pt idx="0">
                  <c:v>Greenhouse Gas Savings From 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'Transit Agency'!$M$32:$P$32</c:f>
              <c:strCache>
                <c:ptCount val="4"/>
                <c:pt idx="0">
                  <c:v>Transit Emission Effects</c:v>
                </c:pt>
                <c:pt idx="1">
                  <c:v>Emissions From Fleet Upgrade</c:v>
                </c:pt>
                <c:pt idx="2">
                  <c:v>Savings From Transit Use</c:v>
                </c:pt>
                <c:pt idx="3">
                  <c:v>Savings From Increased Ridership</c:v>
                </c:pt>
              </c:strCache>
            </c:strRef>
          </c:cat>
          <c:val>
            <c:numRef>
              <c:f>'Transit Agency'!$M$33:$P$33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9532440"/>
        <c:axId val="369532832"/>
      </c:barChart>
      <c:catAx>
        <c:axId val="369532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369532832"/>
        <c:crossesAt val="0"/>
        <c:auto val="1"/>
        <c:lblAlgn val="ctr"/>
        <c:lblOffset val="100"/>
        <c:noMultiLvlLbl val="0"/>
      </c:catAx>
      <c:valAx>
        <c:axId val="3695328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69532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Gasoline Gallon Equivalents Saved By Transit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13272667263896"/>
          <c:y val="0.15032494953878797"/>
          <c:w val="0.82231961274301801"/>
          <c:h val="0.734642736276876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'Transit Agency'!$M$59:$P$59</c:f>
              <c:strCache>
                <c:ptCount val="4"/>
                <c:pt idx="0">
                  <c:v>Transit Energy Usage</c:v>
                </c:pt>
                <c:pt idx="1">
                  <c:v>Fuel SavingsFrom Fleet Upgrade</c:v>
                </c:pt>
                <c:pt idx="2">
                  <c:v>Savings From Transit Use</c:v>
                </c:pt>
                <c:pt idx="3">
                  <c:v>Savings From Increased Ridership</c:v>
                </c:pt>
              </c:strCache>
            </c:strRef>
          </c:cat>
          <c:val>
            <c:numRef>
              <c:f>'Transit Agency'!$M$60:$P$60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9533616"/>
        <c:axId val="369534008"/>
      </c:barChart>
      <c:catAx>
        <c:axId val="36953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9534008"/>
        <c:crosses val="autoZero"/>
        <c:auto val="1"/>
        <c:lblAlgn val="ctr"/>
        <c:lblOffset val="100"/>
        <c:noMultiLvlLbl val="0"/>
      </c:catAx>
      <c:valAx>
        <c:axId val="3695340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953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6737179487179644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7208993454131"/>
          <c:y val="0.18338196006749155"/>
          <c:w val="0.82801138411915398"/>
          <c:h val="0.68245887232845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Electric'!$E$1</c:f>
              <c:strCache>
                <c:ptCount val="1"/>
                <c:pt idx="0">
                  <c:v>Nitrogen Oxides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Electric'!$D$2:$D$5</c:f>
              <c:strCache>
                <c:ptCount val="4"/>
                <c:pt idx="0">
                  <c:v>Comm Rail - Electric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'Comm Rail - Electric'!$E$2:$E$5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071248"/>
        <c:axId val="364071640"/>
      </c:barChart>
      <c:catAx>
        <c:axId val="36407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071640"/>
        <c:crosses val="autoZero"/>
        <c:auto val="1"/>
        <c:lblAlgn val="ctr"/>
        <c:lblOffset val="100"/>
        <c:noMultiLvlLbl val="0"/>
      </c:catAx>
      <c:valAx>
        <c:axId val="364071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07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17024230666819"/>
          <c:y val="0.17829474175897506"/>
          <c:w val="0.84301019437787672"/>
          <c:h val="0.7155541839049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Electric'!$F$1</c:f>
              <c:strCache>
                <c:ptCount val="1"/>
                <c:pt idx="0">
                  <c:v>Hydrocarbons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Electric'!$D$2:$D$5</c:f>
              <c:strCache>
                <c:ptCount val="4"/>
                <c:pt idx="0">
                  <c:v>Comm Rail - Electric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'Comm Rail - Electric'!$F$2:$F$5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3635816"/>
        <c:axId val="363636208"/>
      </c:barChart>
      <c:catAx>
        <c:axId val="36363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3636208"/>
        <c:crosses val="autoZero"/>
        <c:auto val="1"/>
        <c:lblAlgn val="ctr"/>
        <c:lblOffset val="100"/>
        <c:noMultiLvlLbl val="0"/>
      </c:catAx>
      <c:valAx>
        <c:axId val="363636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3635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2473353874243981"/>
          <c:y val="0.18868860562833234"/>
          <c:w val="0.84997907870211875"/>
          <c:h val="0.6989721408142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Electric'!$G$1</c:f>
              <c:strCache>
                <c:ptCount val="1"/>
                <c:pt idx="0">
                  <c:v>Carbon Monoxide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Electric'!$D$2:$D$5</c:f>
              <c:strCache>
                <c:ptCount val="4"/>
                <c:pt idx="0">
                  <c:v>Comm Rail - Electric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'Comm Rail - Electric'!$G$2:$G$5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3636992"/>
        <c:axId val="363768592"/>
      </c:barChart>
      <c:catAx>
        <c:axId val="36363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3768592"/>
        <c:crosses val="autoZero"/>
        <c:auto val="1"/>
        <c:lblAlgn val="ctr"/>
        <c:lblOffset val="100"/>
        <c:noMultiLvlLbl val="0"/>
      </c:catAx>
      <c:valAx>
        <c:axId val="363768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363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673381239966363"/>
          <c:y val="0.15878324171742683"/>
          <c:w val="0.85786197538414499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Electric'!$H$1</c:f>
              <c:strCache>
                <c:ptCount val="1"/>
                <c:pt idx="0">
                  <c:v>Particulate Matter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Electric'!$D$2:$D$5</c:f>
              <c:strCache>
                <c:ptCount val="4"/>
                <c:pt idx="0">
                  <c:v>Comm Rail - Electric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'Comm Rail - Electric'!$H$2:$H$5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3769376"/>
        <c:axId val="363769768"/>
      </c:barChart>
      <c:catAx>
        <c:axId val="36376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3769768"/>
        <c:crosses val="autoZero"/>
        <c:auto val="1"/>
        <c:lblAlgn val="ctr"/>
        <c:lblOffset val="100"/>
        <c:noMultiLvlLbl val="0"/>
      </c:catAx>
      <c:valAx>
        <c:axId val="3637697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3769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49467121694534"/>
          <c:y val="0.15878324171742683"/>
          <c:w val="0.86010123734533184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Electric'!$I$1</c:f>
              <c:strCache>
                <c:ptCount val="1"/>
                <c:pt idx="0">
                  <c:v>Sulfur Oxides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Electric'!$D$2:$D$5</c:f>
              <c:strCache>
                <c:ptCount val="4"/>
                <c:pt idx="0">
                  <c:v>Comm Rail - Electric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'Comm Rail - Electric'!$I$2:$I$5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3848864"/>
        <c:axId val="363849256"/>
      </c:barChart>
      <c:catAx>
        <c:axId val="36384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3849256"/>
        <c:crosses val="autoZero"/>
        <c:auto val="1"/>
        <c:lblAlgn val="ctr"/>
        <c:lblOffset val="100"/>
        <c:noMultiLvlLbl val="0"/>
      </c:catAx>
      <c:valAx>
        <c:axId val="363849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384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668084372665096"/>
          <c:y val="0.18784624578177728"/>
          <c:w val="0.86655516600570914"/>
          <c:h val="0.70031601518560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Electric'!$J$1</c:f>
              <c:strCache>
                <c:ptCount val="1"/>
                <c:pt idx="0">
                  <c:v>Greenhouse 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Electric'!$D$2:$D$5</c:f>
              <c:strCache>
                <c:ptCount val="4"/>
                <c:pt idx="0">
                  <c:v>Comm Rail - Electric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'Comm Rail - Electric'!$J$2:$J$5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3850040"/>
        <c:axId val="363850432"/>
      </c:barChart>
      <c:catAx>
        <c:axId val="363850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3850432"/>
        <c:crosses val="autoZero"/>
        <c:auto val="1"/>
        <c:lblAlgn val="ctr"/>
        <c:lblOffset val="100"/>
        <c:noMultiLvlLbl val="0"/>
      </c:catAx>
      <c:valAx>
        <c:axId val="363850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3850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515393604996459E-2"/>
          <c:y val="0.18953855430233382"/>
          <c:w val="0.87872061612736363"/>
          <c:h val="0.6976161594665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Electric'!$K$1</c:f>
              <c:strCache>
                <c:ptCount val="1"/>
                <c:pt idx="0">
                  <c:v>Fuel - GGE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Electric'!$D$2:$D$5</c:f>
              <c:strCache>
                <c:ptCount val="4"/>
                <c:pt idx="0">
                  <c:v>Comm Rail - Electric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'Comm Rail - Electric'!$K$2:$K$5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3956240"/>
        <c:axId val="363956632"/>
      </c:barChart>
      <c:catAx>
        <c:axId val="36395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3956632"/>
        <c:crosses val="autoZero"/>
        <c:auto val="1"/>
        <c:lblAlgn val="ctr"/>
        <c:lblOffset val="100"/>
        <c:noMultiLvlLbl val="0"/>
      </c:catAx>
      <c:valAx>
        <c:axId val="363956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395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35069895587108"/>
          <c:y val="0.16631291822310607"/>
          <c:w val="0.82010566522127082"/>
          <c:h val="0.69267313428824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Electric'!$J$10</c:f>
              <c:strCache>
                <c:ptCount val="1"/>
                <c:pt idx="0">
                  <c:v>Criteria Air Pollutants Mitigated By Transit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Electric'!$H$11:$L$11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'Comm Rail - Electric'!$H$12:$L$12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3957416"/>
        <c:axId val="238335848"/>
      </c:barChart>
      <c:catAx>
        <c:axId val="363957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238335848"/>
        <c:crosses val="autoZero"/>
        <c:auto val="1"/>
        <c:lblAlgn val="ctr"/>
        <c:lblOffset val="0"/>
        <c:noMultiLvlLbl val="0"/>
      </c:catAx>
      <c:valAx>
        <c:axId val="238335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3957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331491366760069"/>
          <c:y val="0.16774044605680835"/>
          <c:w val="0.81414145050954134"/>
          <c:h val="0.6576963350785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Electric'!$J$36</c:f>
              <c:strCache>
                <c:ptCount val="1"/>
                <c:pt idx="0">
                  <c:v>Greenhouse Gas Savings From 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Electric'!$H$37:$L$37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'Comm Rail - Electric'!$H$38:$L$38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336632"/>
        <c:axId val="238337024"/>
      </c:barChart>
      <c:catAx>
        <c:axId val="238336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238337024"/>
        <c:crossesAt val="0"/>
        <c:auto val="1"/>
        <c:lblAlgn val="ctr"/>
        <c:lblOffset val="100"/>
        <c:noMultiLvlLbl val="0"/>
      </c:catAx>
      <c:valAx>
        <c:axId val="238337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8336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933532446375238"/>
          <c:y val="0.17829474175897506"/>
          <c:w val="0.77537731921440856"/>
          <c:h val="0.7155541839049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Diesel'!$F$1</c:f>
              <c:strCache>
                <c:ptCount val="1"/>
                <c:pt idx="0">
                  <c:v>Hydrocarbons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Diesel'!$D$2:$D$6</c:f>
              <c:strCache>
                <c:ptCount val="5"/>
                <c:pt idx="0">
                  <c:v>Comm Rail - Diesel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Savings</c:v>
                </c:pt>
                <c:pt idx="4">
                  <c:v>Seat Capacity</c:v>
                </c:pt>
              </c:strCache>
            </c:strRef>
          </c:cat>
          <c:val>
            <c:numRef>
              <c:f>'Comm Rail - Diesel'!$F$2:$F$6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4991448"/>
        <c:axId val="234991840"/>
      </c:barChart>
      <c:catAx>
        <c:axId val="234991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4991840"/>
        <c:crosses val="autoZero"/>
        <c:auto val="1"/>
        <c:lblAlgn val="ctr"/>
        <c:lblOffset val="100"/>
        <c:noMultiLvlLbl val="0"/>
      </c:catAx>
      <c:valAx>
        <c:axId val="234991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991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Gasoline Gallon Equivalents Saved By Transit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13272667263896"/>
          <c:y val="0.15032494953878797"/>
          <c:w val="0.82231961274301801"/>
          <c:h val="0.66587471841610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Electric'!$H$62:$L$62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Energy Usage</c:v>
                </c:pt>
                <c:pt idx="4">
                  <c:v>Net Savings From Transit</c:v>
                </c:pt>
              </c:strCache>
            </c:strRef>
          </c:cat>
          <c:val>
            <c:numRef>
              <c:f>'Comm Rail - Electric'!$H$63:$L$63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4178624"/>
        <c:axId val="364179016"/>
      </c:barChart>
      <c:catAx>
        <c:axId val="36417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4179016"/>
        <c:crosses val="autoZero"/>
        <c:auto val="1"/>
        <c:lblAlgn val="ctr"/>
        <c:lblOffset val="100"/>
        <c:noMultiLvlLbl val="0"/>
      </c:catAx>
      <c:valAx>
        <c:axId val="364179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17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6737179487179644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3907718056982"/>
          <c:y val="0.18338196006749155"/>
          <c:w val="0.86679257484118832"/>
          <c:h val="0.68245887232845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'Heavy Rail'!$E$1</c:f>
              <c:strCache>
                <c:ptCount val="1"/>
                <c:pt idx="0">
                  <c:v>Nitrogen Oxides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'Heavy Rail'!$D$2:$D$5</c:f>
              <c:strCache>
                <c:ptCount val="4"/>
                <c:pt idx="0">
                  <c:v>Heavy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'Heavy Rail'!$E$2:$E$5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180192"/>
        <c:axId val="364166328"/>
      </c:barChart>
      <c:catAx>
        <c:axId val="36418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166328"/>
        <c:crosses val="autoZero"/>
        <c:auto val="1"/>
        <c:lblAlgn val="ctr"/>
        <c:lblOffset val="100"/>
        <c:noMultiLvlLbl val="0"/>
      </c:catAx>
      <c:valAx>
        <c:axId val="364166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180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974700196373756"/>
          <c:y val="0.17829474175897506"/>
          <c:w val="0.86496577758288684"/>
          <c:h val="0.7155541839049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'Heavy Rail'!$F$1</c:f>
              <c:strCache>
                <c:ptCount val="1"/>
                <c:pt idx="0">
                  <c:v>Hydrocarbons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'Heavy Rail'!$D$2:$D$5</c:f>
              <c:strCache>
                <c:ptCount val="4"/>
                <c:pt idx="0">
                  <c:v>Heavy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'Heavy Rail'!$F$2:$F$5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167112"/>
        <c:axId val="364167504"/>
      </c:barChart>
      <c:catAx>
        <c:axId val="364167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167504"/>
        <c:crosses val="autoZero"/>
        <c:auto val="1"/>
        <c:lblAlgn val="ctr"/>
        <c:lblOffset val="100"/>
        <c:noMultiLvlLbl val="0"/>
      </c:catAx>
      <c:valAx>
        <c:axId val="3641675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167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540986724485527"/>
          <c:y val="0.18868860562833234"/>
          <c:w val="0.86930275019970327"/>
          <c:h val="0.6989721408142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'Heavy Rail'!$G$1</c:f>
              <c:strCache>
                <c:ptCount val="1"/>
                <c:pt idx="0">
                  <c:v>Carbon Monoxide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'Heavy Rail'!$D$2:$D$5</c:f>
              <c:strCache>
                <c:ptCount val="4"/>
                <c:pt idx="0">
                  <c:v>Heavy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'Heavy Rail'!$G$2:$G$5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869400"/>
        <c:axId val="364869792"/>
      </c:barChart>
      <c:catAx>
        <c:axId val="36486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869792"/>
        <c:crosses val="autoZero"/>
        <c:auto val="1"/>
        <c:lblAlgn val="ctr"/>
        <c:lblOffset val="100"/>
        <c:noMultiLvlLbl val="0"/>
      </c:catAx>
      <c:valAx>
        <c:axId val="3648697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869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9743521137527699E-2"/>
          <c:y val="0.15878324171742683"/>
          <c:w val="0.87485226664628091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'Heavy Rail'!$H$1</c:f>
              <c:strCache>
                <c:ptCount val="1"/>
                <c:pt idx="0">
                  <c:v>Particulate Matter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'Heavy Rail'!$D$2:$D$5</c:f>
              <c:strCache>
                <c:ptCount val="4"/>
                <c:pt idx="0">
                  <c:v>Heavy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'Heavy Rail'!$H$2:$H$5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870576"/>
        <c:axId val="364870968"/>
      </c:barChart>
      <c:catAx>
        <c:axId val="3648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870968"/>
        <c:crosses val="autoZero"/>
        <c:auto val="1"/>
        <c:lblAlgn val="ctr"/>
        <c:lblOffset val="100"/>
        <c:noMultiLvlLbl val="0"/>
      </c:catAx>
      <c:valAx>
        <c:axId val="3648709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87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889152205488866E-2"/>
          <c:y val="0.15878324171742683"/>
          <c:w val="0.87970663557831974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'Heavy Rail'!$I$1</c:f>
              <c:strCache>
                <c:ptCount val="1"/>
                <c:pt idx="0">
                  <c:v>Sulfur Oxides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'Heavy Rail'!$D$2:$D$5</c:f>
              <c:strCache>
                <c:ptCount val="4"/>
                <c:pt idx="0">
                  <c:v>Heavy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'Heavy Rail'!$I$2:$I$5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445848"/>
        <c:axId val="364446240"/>
      </c:barChart>
      <c:catAx>
        <c:axId val="364445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446240"/>
        <c:crosses val="autoZero"/>
        <c:auto val="1"/>
        <c:lblAlgn val="ctr"/>
        <c:lblOffset val="100"/>
        <c:noMultiLvlLbl val="0"/>
      </c:catAx>
      <c:valAx>
        <c:axId val="364446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445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399472517391635"/>
          <c:y val="0.15999071884075328"/>
          <c:w val="0.86930624569987003"/>
          <c:h val="0.74475584563336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'Heavy Rail'!$J$1</c:f>
              <c:strCache>
                <c:ptCount val="1"/>
                <c:pt idx="0">
                  <c:v>Greenhouse 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'Heavy Rail'!$D$2:$D$5</c:f>
              <c:strCache>
                <c:ptCount val="4"/>
                <c:pt idx="0">
                  <c:v>Heavy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'Heavy Rail'!$J$2:$J$5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447024"/>
        <c:axId val="364486424"/>
      </c:barChart>
      <c:catAx>
        <c:axId val="36444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486424"/>
        <c:crosses val="autoZero"/>
        <c:auto val="1"/>
        <c:lblAlgn val="ctr"/>
        <c:lblOffset val="100"/>
        <c:noMultiLvlLbl val="0"/>
      </c:catAx>
      <c:valAx>
        <c:axId val="364486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447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999581574042377E-2"/>
          <c:y val="0.15999071884075328"/>
          <c:w val="0.88443037011677883"/>
          <c:h val="0.74475584563336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'Heavy Rail'!$K$1</c:f>
              <c:strCache>
                <c:ptCount val="1"/>
                <c:pt idx="0">
                  <c:v>Fuel - GGE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'Heavy Rail'!$D$2:$D$5</c:f>
              <c:strCache>
                <c:ptCount val="4"/>
                <c:pt idx="0">
                  <c:v>Heavy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'Heavy Rail'!$K$2:$K$5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487208"/>
        <c:axId val="364487600"/>
      </c:barChart>
      <c:catAx>
        <c:axId val="364487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487600"/>
        <c:crosses val="autoZero"/>
        <c:auto val="1"/>
        <c:lblAlgn val="ctr"/>
        <c:lblOffset val="100"/>
        <c:noMultiLvlLbl val="0"/>
      </c:catAx>
      <c:valAx>
        <c:axId val="364487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487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35069895587108"/>
          <c:y val="0.16631291822310607"/>
          <c:w val="0.82010566522127082"/>
          <c:h val="0.69267313428824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'Heavy Rail'!$J$10</c:f>
              <c:strCache>
                <c:ptCount val="1"/>
                <c:pt idx="0">
                  <c:v>Criteria Air Pollutants Mitigated By Transit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'Heavy Rail'!$H$11:$L$11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'Heavy Rail'!$H$12:$L$12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4597016"/>
        <c:axId val="364597408"/>
      </c:barChart>
      <c:catAx>
        <c:axId val="364597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364597408"/>
        <c:crosses val="autoZero"/>
        <c:auto val="1"/>
        <c:lblAlgn val="ctr"/>
        <c:lblOffset val="0"/>
        <c:noMultiLvlLbl val="0"/>
      </c:catAx>
      <c:valAx>
        <c:axId val="3645974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597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331491366760069"/>
          <c:y val="0.16774044605680835"/>
          <c:w val="0.81414145050954134"/>
          <c:h val="0.6576963350785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'Heavy Rail'!$J$36</c:f>
              <c:strCache>
                <c:ptCount val="1"/>
                <c:pt idx="0">
                  <c:v>Greenhouse Gas Savings From 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'Heavy Rail'!$H$37:$L$37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'Heavy Rail'!$H$38:$L$38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4598192"/>
        <c:axId val="364598584"/>
      </c:barChart>
      <c:catAx>
        <c:axId val="364598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364598584"/>
        <c:crossesAt val="0"/>
        <c:auto val="1"/>
        <c:lblAlgn val="ctr"/>
        <c:lblOffset val="100"/>
        <c:noMultiLvlLbl val="0"/>
      </c:catAx>
      <c:valAx>
        <c:axId val="3645985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64598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719739342926962"/>
          <c:y val="0.18868860562833234"/>
          <c:w val="0.77751525024889134"/>
          <c:h val="0.6989721408142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Diesel'!$G$1</c:f>
              <c:strCache>
                <c:ptCount val="1"/>
                <c:pt idx="0">
                  <c:v>Carbon Monoxide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Diesel'!$D$2:$D$6</c:f>
              <c:strCache>
                <c:ptCount val="5"/>
                <c:pt idx="0">
                  <c:v>Comm Rail - Diesel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Savings</c:v>
                </c:pt>
                <c:pt idx="4">
                  <c:v>Seat Capacity</c:v>
                </c:pt>
              </c:strCache>
            </c:strRef>
          </c:cat>
          <c:val>
            <c:numRef>
              <c:f>'Comm Rail - Diesel'!$G$2:$G$6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4992624"/>
        <c:axId val="234993016"/>
      </c:barChart>
      <c:catAx>
        <c:axId val="23499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4993016"/>
        <c:crosses val="autoZero"/>
        <c:auto val="1"/>
        <c:lblAlgn val="ctr"/>
        <c:lblOffset val="100"/>
        <c:noMultiLvlLbl val="0"/>
      </c:catAx>
      <c:valAx>
        <c:axId val="234993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992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Gasoline Gallon Equivalents Saved By Transit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13272667263896"/>
          <c:y val="0.15032494953878797"/>
          <c:w val="0.82231961274301801"/>
          <c:h val="0.66587471841610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'Heavy Rail'!$H$62:$L$62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Energy Usage</c:v>
                </c:pt>
                <c:pt idx="4">
                  <c:v>Net Savings From Transit</c:v>
                </c:pt>
              </c:strCache>
            </c:strRef>
          </c:cat>
          <c:val>
            <c:numRef>
              <c:f>'Heavy Rail'!$H$63:$L$63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4900512"/>
        <c:axId val="364900904"/>
      </c:barChart>
      <c:catAx>
        <c:axId val="364900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4900904"/>
        <c:crosses val="autoZero"/>
        <c:auto val="1"/>
        <c:lblAlgn val="ctr"/>
        <c:lblOffset val="100"/>
        <c:noMultiLvlLbl val="0"/>
      </c:catAx>
      <c:valAx>
        <c:axId val="364900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90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6737179487179644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5937296828722"/>
          <c:y val="0.18338196006749155"/>
          <c:w val="0.77258975655565987"/>
          <c:h val="0.68245887232845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'Light Rail'!$E$1</c:f>
              <c:strCache>
                <c:ptCount val="1"/>
                <c:pt idx="0">
                  <c:v>Nitrogen Oxides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'Light Rail'!$D$2:$D$5</c:f>
              <c:strCache>
                <c:ptCount val="4"/>
                <c:pt idx="0">
                  <c:v>Light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'Light Rail'!$E$2:$E$5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726040"/>
        <c:axId val="364726432"/>
      </c:barChart>
      <c:catAx>
        <c:axId val="36472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726432"/>
        <c:crosses val="autoZero"/>
        <c:auto val="1"/>
        <c:lblAlgn val="ctr"/>
        <c:lblOffset val="100"/>
        <c:noMultiLvlLbl val="0"/>
      </c:catAx>
      <c:valAx>
        <c:axId val="3647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726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933532446375238"/>
          <c:y val="0.17829474175897506"/>
          <c:w val="0.77537731921440856"/>
          <c:h val="0.7155541839049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'Light Rail'!$F$1</c:f>
              <c:strCache>
                <c:ptCount val="1"/>
                <c:pt idx="0">
                  <c:v>Hydrocarbons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'Light Rail'!$D$2:$D$5</c:f>
              <c:strCache>
                <c:ptCount val="4"/>
                <c:pt idx="0">
                  <c:v>Light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'Light Rail'!$F$2:$F$5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727216"/>
        <c:axId val="364727608"/>
      </c:barChart>
      <c:catAx>
        <c:axId val="36472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727608"/>
        <c:crosses val="autoZero"/>
        <c:auto val="1"/>
        <c:lblAlgn val="ctr"/>
        <c:lblOffset val="100"/>
        <c:noMultiLvlLbl val="0"/>
      </c:catAx>
      <c:valAx>
        <c:axId val="364727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727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719739342926962"/>
          <c:y val="0.18868860562833234"/>
          <c:w val="0.77751525024889134"/>
          <c:h val="0.6989721408142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'Light Rail'!$G$1</c:f>
              <c:strCache>
                <c:ptCount val="1"/>
                <c:pt idx="0">
                  <c:v>Carbon Monoxide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'Light Rail'!$D$2:$D$5</c:f>
              <c:strCache>
                <c:ptCount val="4"/>
                <c:pt idx="0">
                  <c:v>Light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'Light Rail'!$G$2:$G$5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825184"/>
        <c:axId val="364825576"/>
      </c:barChart>
      <c:catAx>
        <c:axId val="36482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825576"/>
        <c:crosses val="autoZero"/>
        <c:auto val="1"/>
        <c:lblAlgn val="ctr"/>
        <c:lblOffset val="100"/>
        <c:noMultiLvlLbl val="0"/>
      </c:catAx>
      <c:valAx>
        <c:axId val="364825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82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'Light Rail'!$H$1</c:f>
              <c:strCache>
                <c:ptCount val="1"/>
                <c:pt idx="0">
                  <c:v>Particulate Matter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'Light Rail'!$D$2:$D$5</c:f>
              <c:strCache>
                <c:ptCount val="4"/>
                <c:pt idx="0">
                  <c:v>Light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'Light Rail'!$H$2:$H$5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826360"/>
        <c:axId val="364826840"/>
      </c:barChart>
      <c:catAx>
        <c:axId val="364826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826840"/>
        <c:crosses val="autoZero"/>
        <c:auto val="1"/>
        <c:lblAlgn val="ctr"/>
        <c:lblOffset val="100"/>
        <c:noMultiLvlLbl val="0"/>
      </c:catAx>
      <c:valAx>
        <c:axId val="364826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826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'Light Rail'!$I$1</c:f>
              <c:strCache>
                <c:ptCount val="1"/>
                <c:pt idx="0">
                  <c:v>Sulfur Oxides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'Light Rail'!$D$2:$D$5</c:f>
              <c:strCache>
                <c:ptCount val="4"/>
                <c:pt idx="0">
                  <c:v>Light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'Light Rail'!$I$2:$I$5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4827624"/>
        <c:axId val="364828016"/>
      </c:barChart>
      <c:catAx>
        <c:axId val="36482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828016"/>
        <c:crosses val="autoZero"/>
        <c:auto val="1"/>
        <c:lblAlgn val="ctr"/>
        <c:lblOffset val="100"/>
        <c:noMultiLvlLbl val="0"/>
      </c:catAx>
      <c:valAx>
        <c:axId val="364828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827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'Light Rail'!$J$1</c:f>
              <c:strCache>
                <c:ptCount val="1"/>
                <c:pt idx="0">
                  <c:v>Greenhouse 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'Light Rail'!$D$2:$D$5</c:f>
              <c:strCache>
                <c:ptCount val="4"/>
                <c:pt idx="0">
                  <c:v>Light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'Light Rail'!$J$2:$J$5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5153232"/>
        <c:axId val="365153624"/>
      </c:barChart>
      <c:catAx>
        <c:axId val="36515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153624"/>
        <c:crosses val="autoZero"/>
        <c:auto val="1"/>
        <c:lblAlgn val="ctr"/>
        <c:lblOffset val="100"/>
        <c:noMultiLvlLbl val="0"/>
      </c:catAx>
      <c:valAx>
        <c:axId val="365153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15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'Light Rail'!$K$1</c:f>
              <c:strCache>
                <c:ptCount val="1"/>
                <c:pt idx="0">
                  <c:v>Fuel - GGE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'Light Rail'!$D$2:$D$5</c:f>
              <c:strCache>
                <c:ptCount val="4"/>
                <c:pt idx="0">
                  <c:v>Light Rail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'Light Rail'!$K$2:$K$5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5154408"/>
        <c:axId val="365154800"/>
      </c:barChart>
      <c:catAx>
        <c:axId val="365154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154800"/>
        <c:crosses val="autoZero"/>
        <c:auto val="1"/>
        <c:lblAlgn val="ctr"/>
        <c:lblOffset val="100"/>
        <c:noMultiLvlLbl val="0"/>
      </c:catAx>
      <c:valAx>
        <c:axId val="365154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154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35069895587108"/>
          <c:y val="0.16631291822310607"/>
          <c:w val="0.82010566522127082"/>
          <c:h val="0.69267313428824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'Light Rail'!$J$10</c:f>
              <c:strCache>
                <c:ptCount val="1"/>
                <c:pt idx="0">
                  <c:v>Criteria Air Pollutants Mitigated By Transit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'Light Rail'!$H$11:$L$11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'Light Rail'!$H$12:$L$12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5118800"/>
        <c:axId val="365119192"/>
      </c:barChart>
      <c:catAx>
        <c:axId val="36511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365119192"/>
        <c:crosses val="autoZero"/>
        <c:auto val="1"/>
        <c:lblAlgn val="ctr"/>
        <c:lblOffset val="0"/>
        <c:noMultiLvlLbl val="0"/>
      </c:catAx>
      <c:valAx>
        <c:axId val="365119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11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331491366760069"/>
          <c:y val="0.16774044605680835"/>
          <c:w val="0.81414145050954134"/>
          <c:h val="0.6576963350785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'Light Rail'!$J$36</c:f>
              <c:strCache>
                <c:ptCount val="1"/>
                <c:pt idx="0">
                  <c:v>Greenhouse Gas Savings From 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'Light Rail'!$H$37:$L$37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'Light Rail'!$H$38:$L$38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5119976"/>
        <c:axId val="365737776"/>
      </c:barChart>
      <c:catAx>
        <c:axId val="365119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365737776"/>
        <c:crossesAt val="0"/>
        <c:auto val="1"/>
        <c:lblAlgn val="ctr"/>
        <c:lblOffset val="100"/>
        <c:noMultiLvlLbl val="0"/>
      </c:catAx>
      <c:valAx>
        <c:axId val="365737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65119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7375330946257433"/>
          <c:y val="0.15878324171742683"/>
          <c:w val="0.80084250159767179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Diesel'!$H$1</c:f>
              <c:strCache>
                <c:ptCount val="1"/>
                <c:pt idx="0">
                  <c:v>Particulate Matter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Diesel'!$D$2:$D$6</c:f>
              <c:strCache>
                <c:ptCount val="5"/>
                <c:pt idx="0">
                  <c:v>Comm Rail - Diesel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Savings</c:v>
                </c:pt>
                <c:pt idx="4">
                  <c:v>Seat Capacity</c:v>
                </c:pt>
              </c:strCache>
            </c:strRef>
          </c:cat>
          <c:val>
            <c:numRef>
              <c:f>'Comm Rail - Diesel'!$H$2:$H$6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4075168"/>
        <c:axId val="234074776"/>
      </c:barChart>
      <c:catAx>
        <c:axId val="23407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4074776"/>
        <c:crosses val="autoZero"/>
        <c:auto val="1"/>
        <c:lblAlgn val="ctr"/>
        <c:lblOffset val="100"/>
        <c:noMultiLvlLbl val="0"/>
      </c:catAx>
      <c:valAx>
        <c:axId val="234074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07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Gasoline Gallon Equivalents Saved By Transit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13272667263896"/>
          <c:y val="0.15032494953878797"/>
          <c:w val="0.82231961274301801"/>
          <c:h val="0.66587471841610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'Light Rail'!$H$62:$L$62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Energy Usage</c:v>
                </c:pt>
                <c:pt idx="4">
                  <c:v>Net Savings From Transit</c:v>
                </c:pt>
              </c:strCache>
            </c:strRef>
          </c:cat>
          <c:val>
            <c:numRef>
              <c:f>'Light Rail'!$H$63:$L$63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5738560"/>
        <c:axId val="365738952"/>
      </c:barChart>
      <c:catAx>
        <c:axId val="36573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5738952"/>
        <c:crosses val="autoZero"/>
        <c:auto val="1"/>
        <c:lblAlgn val="ctr"/>
        <c:lblOffset val="100"/>
        <c:noMultiLvlLbl val="0"/>
      </c:catAx>
      <c:valAx>
        <c:axId val="365738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738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6737179487179644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5937296828722"/>
          <c:y val="0.18338196006749155"/>
          <c:w val="0.77258975655565987"/>
          <c:h val="0.68245887232845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Streetcar!$E$1</c:f>
              <c:strCache>
                <c:ptCount val="1"/>
                <c:pt idx="0">
                  <c:v>Nitrogen Oxides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Streetcar!$D$2:$D$5</c:f>
              <c:strCache>
                <c:ptCount val="4"/>
                <c:pt idx="0">
                  <c:v>Streetcar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Streetcar!$E$2:$E$5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5428032"/>
        <c:axId val="365428424"/>
      </c:barChart>
      <c:catAx>
        <c:axId val="36542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428424"/>
        <c:crosses val="autoZero"/>
        <c:auto val="1"/>
        <c:lblAlgn val="ctr"/>
        <c:lblOffset val="100"/>
        <c:noMultiLvlLbl val="0"/>
      </c:catAx>
      <c:valAx>
        <c:axId val="365428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42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933532446375238"/>
          <c:y val="0.17829474175897506"/>
          <c:w val="0.77537731921440856"/>
          <c:h val="0.7155541839049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Streetcar!$F$1</c:f>
              <c:strCache>
                <c:ptCount val="1"/>
                <c:pt idx="0">
                  <c:v>Hydrocarbons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Streetcar!$D$2:$D$5</c:f>
              <c:strCache>
                <c:ptCount val="4"/>
                <c:pt idx="0">
                  <c:v>Streetcar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Streetcar!$F$2:$F$5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5429208"/>
        <c:axId val="366075720"/>
      </c:barChart>
      <c:catAx>
        <c:axId val="365429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075720"/>
        <c:crosses val="autoZero"/>
        <c:auto val="1"/>
        <c:lblAlgn val="ctr"/>
        <c:lblOffset val="100"/>
        <c:noMultiLvlLbl val="0"/>
      </c:catAx>
      <c:valAx>
        <c:axId val="3660757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429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719739342926962"/>
          <c:y val="0.18868860562833234"/>
          <c:w val="0.77751525024889134"/>
          <c:h val="0.6989721408142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Streetcar!$G$1</c:f>
              <c:strCache>
                <c:ptCount val="1"/>
                <c:pt idx="0">
                  <c:v>Carbon Monoxide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Streetcar!$D$2:$D$5</c:f>
              <c:strCache>
                <c:ptCount val="4"/>
                <c:pt idx="0">
                  <c:v>Streetcar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Streetcar!$G$2:$G$5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6076504"/>
        <c:axId val="366076896"/>
      </c:barChart>
      <c:catAx>
        <c:axId val="366076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076896"/>
        <c:crosses val="autoZero"/>
        <c:auto val="1"/>
        <c:lblAlgn val="ctr"/>
        <c:lblOffset val="100"/>
        <c:noMultiLvlLbl val="0"/>
      </c:catAx>
      <c:valAx>
        <c:axId val="3660768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076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Streetcar!$H$1</c:f>
              <c:strCache>
                <c:ptCount val="1"/>
                <c:pt idx="0">
                  <c:v>Particulate Matter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Streetcar!$D$2:$D$5</c:f>
              <c:strCache>
                <c:ptCount val="4"/>
                <c:pt idx="0">
                  <c:v>Streetcar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Streetcar!$H$2:$H$5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5674280"/>
        <c:axId val="365674672"/>
      </c:barChart>
      <c:catAx>
        <c:axId val="36567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674672"/>
        <c:crosses val="autoZero"/>
        <c:auto val="1"/>
        <c:lblAlgn val="ctr"/>
        <c:lblOffset val="100"/>
        <c:noMultiLvlLbl val="0"/>
      </c:catAx>
      <c:valAx>
        <c:axId val="3656746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674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Streetcar!$I$1</c:f>
              <c:strCache>
                <c:ptCount val="1"/>
                <c:pt idx="0">
                  <c:v>Sulfur Oxides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Streetcar!$D$2:$D$5</c:f>
              <c:strCache>
                <c:ptCount val="4"/>
                <c:pt idx="0">
                  <c:v>Streetcar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Streetcar!$I$2:$I$5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5675456"/>
        <c:axId val="365675848"/>
      </c:barChart>
      <c:catAx>
        <c:axId val="36567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675848"/>
        <c:crosses val="autoZero"/>
        <c:auto val="1"/>
        <c:lblAlgn val="ctr"/>
        <c:lblOffset val="100"/>
        <c:noMultiLvlLbl val="0"/>
      </c:catAx>
      <c:valAx>
        <c:axId val="365675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675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Streetcar!$J$1</c:f>
              <c:strCache>
                <c:ptCount val="1"/>
                <c:pt idx="0">
                  <c:v>Greenhouse 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Streetcar!$D$2:$D$5</c:f>
              <c:strCache>
                <c:ptCount val="4"/>
                <c:pt idx="0">
                  <c:v>Streetcar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Streetcar!$J$2:$J$5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5676632"/>
        <c:axId val="365677024"/>
      </c:barChart>
      <c:catAx>
        <c:axId val="36567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677024"/>
        <c:crosses val="autoZero"/>
        <c:auto val="1"/>
        <c:lblAlgn val="ctr"/>
        <c:lblOffset val="100"/>
        <c:noMultiLvlLbl val="0"/>
      </c:catAx>
      <c:valAx>
        <c:axId val="365677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676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Streetcar!$K$1</c:f>
              <c:strCache>
                <c:ptCount val="1"/>
                <c:pt idx="0">
                  <c:v>Fuel - GGE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Streetcar!$D$2:$D$5</c:f>
              <c:strCache>
                <c:ptCount val="4"/>
                <c:pt idx="0">
                  <c:v>Streetcar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Streetcar!$K$2:$K$5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5677808"/>
        <c:axId val="366341968"/>
      </c:barChart>
      <c:catAx>
        <c:axId val="36567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341968"/>
        <c:crosses val="autoZero"/>
        <c:auto val="1"/>
        <c:lblAlgn val="ctr"/>
        <c:lblOffset val="100"/>
        <c:noMultiLvlLbl val="0"/>
      </c:catAx>
      <c:valAx>
        <c:axId val="3663419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677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35069895587108"/>
          <c:y val="0.16631291822310607"/>
          <c:w val="0.82010566522127082"/>
          <c:h val="0.69267313428824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Streetcar!$J$10</c:f>
              <c:strCache>
                <c:ptCount val="1"/>
                <c:pt idx="0">
                  <c:v>Criteria Air Pollutants Mitigated By Transit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Streetcar!$H$11:$L$11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Streetcar!$H$12:$L$12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342752"/>
        <c:axId val="366343144"/>
      </c:barChart>
      <c:catAx>
        <c:axId val="366342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366343144"/>
        <c:crosses val="autoZero"/>
        <c:auto val="1"/>
        <c:lblAlgn val="ctr"/>
        <c:lblOffset val="0"/>
        <c:noMultiLvlLbl val="0"/>
      </c:catAx>
      <c:valAx>
        <c:axId val="3663431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34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331491366760069"/>
          <c:y val="0.16774044605680835"/>
          <c:w val="0.81414145050954134"/>
          <c:h val="0.6576963350785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Streetcar!$J$36</c:f>
              <c:strCache>
                <c:ptCount val="1"/>
                <c:pt idx="0">
                  <c:v>Greenhouse Gas Savings From 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Streetcar!$H$37:$L$37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Streetcar!$H$38:$L$38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006128"/>
        <c:axId val="366006520"/>
      </c:barChart>
      <c:catAx>
        <c:axId val="36600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366006520"/>
        <c:crossesAt val="0"/>
        <c:auto val="1"/>
        <c:lblAlgn val="ctr"/>
        <c:lblOffset val="100"/>
        <c:noMultiLvlLbl val="0"/>
      </c:catAx>
      <c:valAx>
        <c:axId val="366006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6600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268987450184303"/>
          <c:y val="0.18784624578177728"/>
          <c:w val="0.83225318238423363"/>
          <c:h val="0.70031601518560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Diesel'!$J$1</c:f>
              <c:strCache>
                <c:ptCount val="1"/>
                <c:pt idx="0">
                  <c:v>Greenhouse 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Diesel'!$D$2:$D$6</c:f>
              <c:strCache>
                <c:ptCount val="5"/>
                <c:pt idx="0">
                  <c:v>Comm Rail - Diesel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Savings</c:v>
                </c:pt>
                <c:pt idx="4">
                  <c:v>Seat Capacity</c:v>
                </c:pt>
              </c:strCache>
            </c:strRef>
          </c:cat>
          <c:val>
            <c:numRef>
              <c:f>'Comm Rail - Diesel'!$J$2:$J$6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4073992"/>
        <c:axId val="234223336"/>
      </c:barChart>
      <c:catAx>
        <c:axId val="23407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4223336"/>
        <c:crosses val="autoZero"/>
        <c:auto val="1"/>
        <c:lblAlgn val="ctr"/>
        <c:lblOffset val="100"/>
        <c:noMultiLvlLbl val="0"/>
      </c:catAx>
      <c:valAx>
        <c:axId val="2342233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073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Gasoline Gallon Equivalents Saved By Transit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13272667263896"/>
          <c:y val="0.15032494953878797"/>
          <c:w val="0.82231961274301801"/>
          <c:h val="0.66587471841610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Streetcar!$H$62:$L$62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Energy Usage</c:v>
                </c:pt>
                <c:pt idx="4">
                  <c:v>Net Savings From Transit</c:v>
                </c:pt>
              </c:strCache>
            </c:strRef>
          </c:cat>
          <c:val>
            <c:numRef>
              <c:f>Streetcar!$H$63:$L$63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007304"/>
        <c:axId val="366007696"/>
      </c:barChart>
      <c:catAx>
        <c:axId val="366007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6007696"/>
        <c:crosses val="autoZero"/>
        <c:auto val="1"/>
        <c:lblAlgn val="ctr"/>
        <c:lblOffset val="100"/>
        <c:noMultiLvlLbl val="0"/>
      </c:catAx>
      <c:valAx>
        <c:axId val="366007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007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6737179487179644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5937296828722"/>
          <c:y val="0.18338196006749155"/>
          <c:w val="0.77258975655565987"/>
          <c:h val="0.68245887232845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'Trolley Bus'!$E$1</c:f>
              <c:strCache>
                <c:ptCount val="1"/>
                <c:pt idx="0">
                  <c:v>Nitrogen Oxides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'Trolley Bus'!$D$2:$D$5</c:f>
              <c:strCache>
                <c:ptCount val="4"/>
                <c:pt idx="0">
                  <c:v>Trolley Bus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'Trolley Bus'!$E$2:$E$5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3978536"/>
        <c:axId val="233978928"/>
      </c:barChart>
      <c:catAx>
        <c:axId val="233978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978928"/>
        <c:crosses val="autoZero"/>
        <c:auto val="1"/>
        <c:lblAlgn val="ctr"/>
        <c:lblOffset val="100"/>
        <c:noMultiLvlLbl val="0"/>
      </c:catAx>
      <c:valAx>
        <c:axId val="233978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3978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933532446375238"/>
          <c:y val="0.17829474175897506"/>
          <c:w val="0.77537731921440856"/>
          <c:h val="0.7155541839049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'Trolley Bus'!$F$1</c:f>
              <c:strCache>
                <c:ptCount val="1"/>
                <c:pt idx="0">
                  <c:v>Hydrocarbons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'Trolley Bus'!$D$2:$D$5</c:f>
              <c:strCache>
                <c:ptCount val="4"/>
                <c:pt idx="0">
                  <c:v>Trolley Bus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'Trolley Bus'!$F$2:$F$5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3979712"/>
        <c:axId val="233980104"/>
      </c:barChart>
      <c:catAx>
        <c:axId val="2339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980104"/>
        <c:crosses val="autoZero"/>
        <c:auto val="1"/>
        <c:lblAlgn val="ctr"/>
        <c:lblOffset val="100"/>
        <c:noMultiLvlLbl val="0"/>
      </c:catAx>
      <c:valAx>
        <c:axId val="233980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397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719739342926962"/>
          <c:y val="0.18868860562833234"/>
          <c:w val="0.77751525024889134"/>
          <c:h val="0.6989721408142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'Trolley Bus'!$G$1</c:f>
              <c:strCache>
                <c:ptCount val="1"/>
                <c:pt idx="0">
                  <c:v>Carbon Monoxide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'Trolley Bus'!$D$2:$D$5</c:f>
              <c:strCache>
                <c:ptCount val="4"/>
                <c:pt idx="0">
                  <c:v>Trolley Bus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'Trolley Bus'!$G$2:$G$5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3980888"/>
        <c:axId val="233981280"/>
      </c:barChart>
      <c:catAx>
        <c:axId val="233980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981280"/>
        <c:crosses val="autoZero"/>
        <c:auto val="1"/>
        <c:lblAlgn val="ctr"/>
        <c:lblOffset val="100"/>
        <c:noMultiLvlLbl val="0"/>
      </c:catAx>
      <c:valAx>
        <c:axId val="233981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3980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'Trolley Bus'!$H$1</c:f>
              <c:strCache>
                <c:ptCount val="1"/>
                <c:pt idx="0">
                  <c:v>Particulate Matter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'Trolley Bus'!$D$2:$D$5</c:f>
              <c:strCache>
                <c:ptCount val="4"/>
                <c:pt idx="0">
                  <c:v>Trolley Bus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'Trolley Bus'!$H$2:$H$5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5412528"/>
        <c:axId val="365412920"/>
      </c:barChart>
      <c:catAx>
        <c:axId val="36541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412920"/>
        <c:crosses val="autoZero"/>
        <c:auto val="1"/>
        <c:lblAlgn val="ctr"/>
        <c:lblOffset val="100"/>
        <c:noMultiLvlLbl val="0"/>
      </c:catAx>
      <c:valAx>
        <c:axId val="3654129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412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'Trolley Bus'!$I$1</c:f>
              <c:strCache>
                <c:ptCount val="1"/>
                <c:pt idx="0">
                  <c:v>Sulfur Oxides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'Trolley Bus'!$D$2:$D$5</c:f>
              <c:strCache>
                <c:ptCount val="4"/>
                <c:pt idx="0">
                  <c:v>Trolley Bus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'Trolley Bus'!$I$2:$I$5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5413704"/>
        <c:axId val="366731280"/>
      </c:barChart>
      <c:catAx>
        <c:axId val="36541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731280"/>
        <c:crosses val="autoZero"/>
        <c:auto val="1"/>
        <c:lblAlgn val="ctr"/>
        <c:lblOffset val="100"/>
        <c:noMultiLvlLbl val="0"/>
      </c:catAx>
      <c:valAx>
        <c:axId val="366731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413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'Trolley Bus'!$J$1</c:f>
              <c:strCache>
                <c:ptCount val="1"/>
                <c:pt idx="0">
                  <c:v>Greenhouse 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'Trolley Bus'!$D$2:$D$5</c:f>
              <c:strCache>
                <c:ptCount val="4"/>
                <c:pt idx="0">
                  <c:v>Trolley Bus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'Trolley Bus'!$J$2:$J$5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6732064"/>
        <c:axId val="366732456"/>
      </c:barChart>
      <c:catAx>
        <c:axId val="36673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732456"/>
        <c:crosses val="autoZero"/>
        <c:auto val="1"/>
        <c:lblAlgn val="ctr"/>
        <c:lblOffset val="100"/>
        <c:noMultiLvlLbl val="0"/>
      </c:catAx>
      <c:valAx>
        <c:axId val="3667324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73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'Trolley Bus'!$K$1</c:f>
              <c:strCache>
                <c:ptCount val="1"/>
                <c:pt idx="0">
                  <c:v>Fuel - GGE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'Trolley Bus'!$D$2:$D$5</c:f>
              <c:strCache>
                <c:ptCount val="4"/>
                <c:pt idx="0">
                  <c:v>Trolley Bus</c:v>
                </c:pt>
                <c:pt idx="1">
                  <c:v>Rider Savings</c:v>
                </c:pt>
                <c:pt idx="2">
                  <c:v>Increased Savings</c:v>
                </c:pt>
                <c:pt idx="3">
                  <c:v>Seat Capacity</c:v>
                </c:pt>
              </c:strCache>
            </c:strRef>
          </c:cat>
          <c:val>
            <c:numRef>
              <c:f>'Trolley Bus'!$K$2:$K$5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6733240"/>
        <c:axId val="366733632"/>
      </c:barChart>
      <c:catAx>
        <c:axId val="36673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733632"/>
        <c:crosses val="autoZero"/>
        <c:auto val="1"/>
        <c:lblAlgn val="ctr"/>
        <c:lblOffset val="100"/>
        <c:noMultiLvlLbl val="0"/>
      </c:catAx>
      <c:valAx>
        <c:axId val="366733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733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35069895587108"/>
          <c:y val="0.16631291822310607"/>
          <c:w val="0.82010566522127082"/>
          <c:h val="0.69267313428824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'Trolley Bus'!$J$10</c:f>
              <c:strCache>
                <c:ptCount val="1"/>
                <c:pt idx="0">
                  <c:v>Criteria Air Pollutants Mitigated By Transit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'Trolley Bus'!$H$11:$L$11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'Trolley Bus'!$H$12:$L$12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734416"/>
        <c:axId val="366734808"/>
      </c:barChart>
      <c:catAx>
        <c:axId val="36673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366734808"/>
        <c:crosses val="autoZero"/>
        <c:auto val="1"/>
        <c:lblAlgn val="ctr"/>
        <c:lblOffset val="0"/>
        <c:noMultiLvlLbl val="0"/>
      </c:catAx>
      <c:valAx>
        <c:axId val="366734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734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331491366760069"/>
          <c:y val="0.16774044605680835"/>
          <c:w val="0.81414145050954134"/>
          <c:h val="0.6576963350785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'Trolley Bus'!$J$36</c:f>
              <c:strCache>
                <c:ptCount val="1"/>
                <c:pt idx="0">
                  <c:v>Greenhouse Gas Savings From 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'Trolley Bus'!$H$37:$L$37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'Trolley Bus'!$H$38:$L$38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735592"/>
        <c:axId val="366735984"/>
      </c:barChart>
      <c:catAx>
        <c:axId val="366735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366735984"/>
        <c:crossesAt val="0"/>
        <c:auto val="1"/>
        <c:lblAlgn val="ctr"/>
        <c:lblOffset val="100"/>
        <c:noMultiLvlLbl val="0"/>
      </c:catAx>
      <c:valAx>
        <c:axId val="366735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66735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6792211592382578"/>
          <c:y val="0.18953855430233382"/>
          <c:w val="0.80539505108893461"/>
          <c:h val="0.6976161594665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Diesel'!$K$1</c:f>
              <c:strCache>
                <c:ptCount val="1"/>
                <c:pt idx="0">
                  <c:v>Fuel - GGE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Diesel'!$D$2:$D$6</c:f>
              <c:strCache>
                <c:ptCount val="5"/>
                <c:pt idx="0">
                  <c:v>Comm Rail - Diesel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Savings</c:v>
                </c:pt>
                <c:pt idx="4">
                  <c:v>Seat Capacity</c:v>
                </c:pt>
              </c:strCache>
            </c:strRef>
          </c:cat>
          <c:val>
            <c:numRef>
              <c:f>'Comm Rail - Diesel'!$K$2:$K$6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4224120"/>
        <c:axId val="234224512"/>
      </c:barChart>
      <c:catAx>
        <c:axId val="234224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4224512"/>
        <c:crosses val="autoZero"/>
        <c:auto val="1"/>
        <c:lblAlgn val="ctr"/>
        <c:lblOffset val="100"/>
        <c:noMultiLvlLbl val="0"/>
      </c:catAx>
      <c:valAx>
        <c:axId val="234224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224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Gasoline Gallon Equivalents Saved By Transit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13272667263896"/>
          <c:y val="0.15032494953878797"/>
          <c:w val="0.82231961274301801"/>
          <c:h val="0.66587471841610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'Trolley Bus'!$H$62:$L$62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Energy Usage</c:v>
                </c:pt>
                <c:pt idx="4">
                  <c:v>Net Savings From Transit</c:v>
                </c:pt>
              </c:strCache>
            </c:strRef>
          </c:cat>
          <c:val>
            <c:numRef>
              <c:f>'Trolley Bus'!$H$63:$L$63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736768"/>
        <c:axId val="366737160"/>
      </c:barChart>
      <c:catAx>
        <c:axId val="366736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6737160"/>
        <c:crosses val="autoZero"/>
        <c:auto val="1"/>
        <c:lblAlgn val="ctr"/>
        <c:lblOffset val="100"/>
        <c:noMultiLvlLbl val="0"/>
      </c:catAx>
      <c:valAx>
        <c:axId val="3667371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73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6737179487179644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5937296828722"/>
          <c:y val="0.18338196006749155"/>
          <c:w val="0.77258975655565987"/>
          <c:h val="0.68245887232845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'Fixed Route Bus'!$E$1</c:f>
              <c:strCache>
                <c:ptCount val="1"/>
                <c:pt idx="0">
                  <c:v>Nitrogen Oxides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'Fixed Route Bus'!$D$2:$D$6</c:f>
              <c:strCache>
                <c:ptCount val="5"/>
                <c:pt idx="0">
                  <c:v>Fixed Route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'Fixed Route Bus'!$E$2:$E$6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6738336"/>
        <c:axId val="366738728"/>
      </c:barChart>
      <c:catAx>
        <c:axId val="3667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738728"/>
        <c:crosses val="autoZero"/>
        <c:auto val="1"/>
        <c:lblAlgn val="ctr"/>
        <c:lblOffset val="100"/>
        <c:noMultiLvlLbl val="0"/>
      </c:catAx>
      <c:valAx>
        <c:axId val="366738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73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933532446375238"/>
          <c:y val="0.17829474175897506"/>
          <c:w val="0.77537731921440856"/>
          <c:h val="0.7155541839049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'Fixed Route Bus'!$F$1</c:f>
              <c:strCache>
                <c:ptCount val="1"/>
                <c:pt idx="0">
                  <c:v>Hydrocarbons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'Fixed Route Bus'!$D$2:$D$6</c:f>
              <c:strCache>
                <c:ptCount val="5"/>
                <c:pt idx="0">
                  <c:v>Fixed Route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'Fixed Route Bus'!$F$2:$F$6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6981544"/>
        <c:axId val="366981936"/>
      </c:barChart>
      <c:catAx>
        <c:axId val="36698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981936"/>
        <c:crosses val="autoZero"/>
        <c:auto val="1"/>
        <c:lblAlgn val="ctr"/>
        <c:lblOffset val="100"/>
        <c:noMultiLvlLbl val="0"/>
      </c:catAx>
      <c:valAx>
        <c:axId val="366981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981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719739342926962"/>
          <c:y val="0.18868860562833234"/>
          <c:w val="0.77751525024889134"/>
          <c:h val="0.6989721408142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'Fixed Route Bus'!$G$1</c:f>
              <c:strCache>
                <c:ptCount val="1"/>
                <c:pt idx="0">
                  <c:v>Carbon Monoxide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'Fixed Route Bus'!$D$2:$D$6</c:f>
              <c:strCache>
                <c:ptCount val="5"/>
                <c:pt idx="0">
                  <c:v>Fixed Route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'Fixed Route Bus'!$G$2:$G$6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6982720"/>
        <c:axId val="366983112"/>
      </c:barChart>
      <c:catAx>
        <c:axId val="36698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983112"/>
        <c:crosses val="autoZero"/>
        <c:auto val="1"/>
        <c:lblAlgn val="ctr"/>
        <c:lblOffset val="100"/>
        <c:noMultiLvlLbl val="0"/>
      </c:catAx>
      <c:valAx>
        <c:axId val="3669831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98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35069895587108"/>
          <c:y val="0.16631291822310607"/>
          <c:w val="0.82010566522127082"/>
          <c:h val="0.69267313428824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'Fixed Route Bus'!$G$12</c:f>
              <c:strCache>
                <c:ptCount val="1"/>
                <c:pt idx="0">
                  <c:v>Criteria Air Pollutants Mitigated By Transit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'Fixed Route Bus'!$G$13:$K$13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'Fixed Route Bus'!$G$14:$K$14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983896"/>
        <c:axId val="366984288"/>
      </c:barChart>
      <c:catAx>
        <c:axId val="366983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366984288"/>
        <c:crosses val="autoZero"/>
        <c:auto val="1"/>
        <c:lblAlgn val="ctr"/>
        <c:lblOffset val="0"/>
        <c:noMultiLvlLbl val="0"/>
      </c:catAx>
      <c:valAx>
        <c:axId val="3669842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983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331491366760069"/>
          <c:y val="0.16774044605680835"/>
          <c:w val="0.81414145050954134"/>
          <c:h val="0.6576963350785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'Fixed Route Bus'!$G$38</c:f>
              <c:strCache>
                <c:ptCount val="1"/>
                <c:pt idx="0">
                  <c:v>GreenhouseGasSavingsFromTransit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'Fixed Route Bus'!$G$39:$K$39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'Fixed Route Bus'!$G$40:$K$40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985072"/>
        <c:axId val="366985464"/>
      </c:barChart>
      <c:catAx>
        <c:axId val="36698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366985464"/>
        <c:crossesAt val="0"/>
        <c:auto val="1"/>
        <c:lblAlgn val="ctr"/>
        <c:lblOffset val="100"/>
        <c:noMultiLvlLbl val="0"/>
      </c:catAx>
      <c:valAx>
        <c:axId val="3669854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6698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Gasoline Gallon Equivalents Saved By Transit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13272667263896"/>
          <c:y val="0.15032494953878797"/>
          <c:w val="0.82231961274301801"/>
          <c:h val="0.66587471841610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'Fixed Route Bus'!$G$64:$K$64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Energy Usage</c:v>
                </c:pt>
                <c:pt idx="4">
                  <c:v>Net Savings From Transit</c:v>
                </c:pt>
              </c:strCache>
            </c:strRef>
          </c:cat>
          <c:val>
            <c:numRef>
              <c:f>'Fixed Route Bus'!$G$65:$K$65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986248"/>
        <c:axId val="366986640"/>
      </c:barChart>
      <c:catAx>
        <c:axId val="366986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6986640"/>
        <c:crosses val="autoZero"/>
        <c:auto val="1"/>
        <c:lblAlgn val="ctr"/>
        <c:lblOffset val="100"/>
        <c:noMultiLvlLbl val="0"/>
      </c:catAx>
      <c:valAx>
        <c:axId val="366986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986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'Fixed Route Bus'!$H$1</c:f>
              <c:strCache>
                <c:ptCount val="1"/>
                <c:pt idx="0">
                  <c:v>Particulate Matter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'Fixed Route Bus'!$D$2:$D$6</c:f>
              <c:strCache>
                <c:ptCount val="5"/>
                <c:pt idx="0">
                  <c:v>Fixed Route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'Fixed Route Bus'!$H$2:$H$6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6987424"/>
        <c:axId val="366987816"/>
      </c:barChart>
      <c:catAx>
        <c:axId val="3669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987816"/>
        <c:crosses val="autoZero"/>
        <c:auto val="1"/>
        <c:lblAlgn val="ctr"/>
        <c:lblOffset val="100"/>
        <c:noMultiLvlLbl val="0"/>
      </c:catAx>
      <c:valAx>
        <c:axId val="366987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987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'Fixed Route Bus'!$I$1</c:f>
              <c:strCache>
                <c:ptCount val="1"/>
                <c:pt idx="0">
                  <c:v>Sulfur Oxides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'Fixed Route Bus'!$D$2:$D$6</c:f>
              <c:strCache>
                <c:ptCount val="5"/>
                <c:pt idx="0">
                  <c:v>Fixed Route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'Fixed Route Bus'!$I$2:$I$6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6988600"/>
        <c:axId val="367601720"/>
      </c:barChart>
      <c:catAx>
        <c:axId val="36698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601720"/>
        <c:crosses val="autoZero"/>
        <c:auto val="1"/>
        <c:lblAlgn val="ctr"/>
        <c:lblOffset val="100"/>
        <c:noMultiLvlLbl val="0"/>
      </c:catAx>
      <c:valAx>
        <c:axId val="3676017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988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'Fixed Route Bus'!$J$1</c:f>
              <c:strCache>
                <c:ptCount val="1"/>
                <c:pt idx="0">
                  <c:v>Greenhouse 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'Fixed Route Bus'!$D$2:$D$6</c:f>
              <c:strCache>
                <c:ptCount val="5"/>
                <c:pt idx="0">
                  <c:v>Fixed Route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'Fixed Route Bus'!$J$2:$J$6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602504"/>
        <c:axId val="367602896"/>
      </c:barChart>
      <c:catAx>
        <c:axId val="367602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602896"/>
        <c:crosses val="autoZero"/>
        <c:auto val="1"/>
        <c:lblAlgn val="ctr"/>
        <c:lblOffset val="100"/>
        <c:noMultiLvlLbl val="0"/>
      </c:catAx>
      <c:valAx>
        <c:axId val="3676028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602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35069895587108"/>
          <c:y val="0.16631291822310607"/>
          <c:w val="0.82010566522127082"/>
          <c:h val="0.69267313428824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Diesel'!$J$11</c:f>
              <c:strCache>
                <c:ptCount val="1"/>
                <c:pt idx="0">
                  <c:v>Criteria Air Pollutants Mitigated By Transit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Diesel'!$H$12:$L$12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'Comm Rail - Diesel'!$H$13:$L$13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282688"/>
        <c:axId val="234283080"/>
      </c:barChart>
      <c:catAx>
        <c:axId val="234282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234283080"/>
        <c:crosses val="autoZero"/>
        <c:auto val="1"/>
        <c:lblAlgn val="ctr"/>
        <c:lblOffset val="0"/>
        <c:noMultiLvlLbl val="0"/>
      </c:catAx>
      <c:valAx>
        <c:axId val="2342830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282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'Fixed Route Bus'!$K$1</c:f>
              <c:strCache>
                <c:ptCount val="1"/>
                <c:pt idx="0">
                  <c:v>Fuel - GGE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'Fixed Route Bus'!$D$2:$D$6</c:f>
              <c:strCache>
                <c:ptCount val="5"/>
                <c:pt idx="0">
                  <c:v>Fixed Route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'Fixed Route Bus'!$K$2:$K$6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603680"/>
        <c:axId val="367604072"/>
      </c:barChart>
      <c:catAx>
        <c:axId val="3676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604072"/>
        <c:crosses val="autoZero"/>
        <c:auto val="1"/>
        <c:lblAlgn val="ctr"/>
        <c:lblOffset val="100"/>
        <c:noMultiLvlLbl val="0"/>
      </c:catAx>
      <c:valAx>
        <c:axId val="367604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603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6737179487179644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5937296828722"/>
          <c:y val="0.18338196006749155"/>
          <c:w val="0.77258975655565987"/>
          <c:h val="0.68245887232845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 Rapid Transit'!$E$1</c:f>
              <c:strCache>
                <c:ptCount val="1"/>
                <c:pt idx="0">
                  <c:v>Nitrogen Oxides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'Bus Rapid Transit'!$D$2:$D$6</c:f>
              <c:strCache>
                <c:ptCount val="5"/>
                <c:pt idx="0">
                  <c:v>Bus Rapid Transit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'Bus Rapid Transit'!$E$2:$E$6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605248"/>
        <c:axId val="367253536"/>
      </c:barChart>
      <c:catAx>
        <c:axId val="36760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253536"/>
        <c:crosses val="autoZero"/>
        <c:auto val="1"/>
        <c:lblAlgn val="ctr"/>
        <c:lblOffset val="100"/>
        <c:noMultiLvlLbl val="0"/>
      </c:catAx>
      <c:valAx>
        <c:axId val="367253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60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933532446375238"/>
          <c:y val="0.17829474175897506"/>
          <c:w val="0.77537731921440856"/>
          <c:h val="0.7155541839049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 Rapid Transit'!$F$1</c:f>
              <c:strCache>
                <c:ptCount val="1"/>
                <c:pt idx="0">
                  <c:v>Hydrocarbons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'Bus Rapid Transit'!$D$2:$D$6</c:f>
              <c:strCache>
                <c:ptCount val="5"/>
                <c:pt idx="0">
                  <c:v>Bus Rapid Transit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'Bus Rapid Transit'!$F$2:$F$6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254320"/>
        <c:axId val="367254712"/>
      </c:barChart>
      <c:catAx>
        <c:axId val="36725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254712"/>
        <c:crosses val="autoZero"/>
        <c:auto val="1"/>
        <c:lblAlgn val="ctr"/>
        <c:lblOffset val="100"/>
        <c:noMultiLvlLbl val="0"/>
      </c:catAx>
      <c:valAx>
        <c:axId val="3672547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25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719739342926962"/>
          <c:y val="0.18868860562833234"/>
          <c:w val="0.77751525024889134"/>
          <c:h val="0.6989721408142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 Rapid Transit'!$G$1</c:f>
              <c:strCache>
                <c:ptCount val="1"/>
                <c:pt idx="0">
                  <c:v>Carbon Monoxide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'Bus Rapid Transit'!$D$2:$D$6</c:f>
              <c:strCache>
                <c:ptCount val="5"/>
                <c:pt idx="0">
                  <c:v>Bus Rapid Transit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'Bus Rapid Transit'!$G$2:$G$6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255496"/>
        <c:axId val="367255888"/>
      </c:barChart>
      <c:catAx>
        <c:axId val="367255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255888"/>
        <c:crosses val="autoZero"/>
        <c:auto val="1"/>
        <c:lblAlgn val="ctr"/>
        <c:lblOffset val="100"/>
        <c:noMultiLvlLbl val="0"/>
      </c:catAx>
      <c:valAx>
        <c:axId val="367255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255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35069895587108"/>
          <c:y val="0.16631291822310607"/>
          <c:w val="0.82010566522127082"/>
          <c:h val="0.69267313428824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 Rapid Transit'!$G$12:$K$12</c:f>
              <c:strCache>
                <c:ptCount val="5"/>
                <c:pt idx="0">
                  <c:v>Criteria Air Pollutants Mitigated By Transit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'Bus Rapid Transit'!$G$13:$K$13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'Bus Rapid Transit'!$G$14:$K$14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7256672"/>
        <c:axId val="367257064"/>
      </c:barChart>
      <c:catAx>
        <c:axId val="367256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367257064"/>
        <c:crosses val="autoZero"/>
        <c:auto val="1"/>
        <c:lblAlgn val="ctr"/>
        <c:lblOffset val="0"/>
        <c:noMultiLvlLbl val="0"/>
      </c:catAx>
      <c:valAx>
        <c:axId val="367257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256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331491366760069"/>
          <c:y val="0.16774044605680835"/>
          <c:w val="0.81414145050954134"/>
          <c:h val="0.6576963350785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 Rapid Transit'!$G$38:$K$38</c:f>
              <c:strCache>
                <c:ptCount val="5"/>
                <c:pt idx="0">
                  <c:v>GreenhouseGasSavingsFromTransit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'Bus Rapid Transit'!$G$39:$K$39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'Bus Rapid Transit'!$G$40:$K$40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7257848"/>
        <c:axId val="367258240"/>
      </c:barChart>
      <c:catAx>
        <c:axId val="367257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367258240"/>
        <c:crossesAt val="0"/>
        <c:auto val="1"/>
        <c:lblAlgn val="ctr"/>
        <c:lblOffset val="100"/>
        <c:noMultiLvlLbl val="0"/>
      </c:catAx>
      <c:valAx>
        <c:axId val="367258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67257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Gasoline Gallon Equivalents Saved By Transit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13272667263896"/>
          <c:y val="0.15032494953878797"/>
          <c:w val="0.82231961274301801"/>
          <c:h val="0.66587471841610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 Rapid Transit'!$G$63:$K$63</c:f>
              <c:strCache>
                <c:ptCount val="5"/>
                <c:pt idx="0">
                  <c:v>Gasoline Gallon Equivalents Saved by 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'Bus Rapid Transit'!$G$64:$K$64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Energy Usage</c:v>
                </c:pt>
                <c:pt idx="4">
                  <c:v>Net Savings From Transit</c:v>
                </c:pt>
              </c:strCache>
            </c:strRef>
          </c:cat>
          <c:val>
            <c:numRef>
              <c:f>'Bus Rapid Transit'!$G$65:$K$65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7259024"/>
        <c:axId val="367259416"/>
      </c:barChart>
      <c:catAx>
        <c:axId val="36725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7259416"/>
        <c:crosses val="autoZero"/>
        <c:auto val="1"/>
        <c:lblAlgn val="ctr"/>
        <c:lblOffset val="100"/>
        <c:noMultiLvlLbl val="0"/>
      </c:catAx>
      <c:valAx>
        <c:axId val="3672594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25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 Rapid Transit'!$H$1</c:f>
              <c:strCache>
                <c:ptCount val="1"/>
                <c:pt idx="0">
                  <c:v>Particulate Matter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'Bus Rapid Transit'!$D$2:$D$6</c:f>
              <c:strCache>
                <c:ptCount val="5"/>
                <c:pt idx="0">
                  <c:v>Bus Rapid Transit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'Bus Rapid Transit'!$H$2:$H$6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260200"/>
        <c:axId val="367260592"/>
      </c:barChart>
      <c:catAx>
        <c:axId val="367260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260592"/>
        <c:crosses val="autoZero"/>
        <c:auto val="1"/>
        <c:lblAlgn val="ctr"/>
        <c:lblOffset val="100"/>
        <c:noMultiLvlLbl val="0"/>
      </c:catAx>
      <c:valAx>
        <c:axId val="367260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260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 Rapid Transit'!$I$1</c:f>
              <c:strCache>
                <c:ptCount val="1"/>
                <c:pt idx="0">
                  <c:v>Sulfur Oxides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'Bus Rapid Transit'!$D$2:$D$6</c:f>
              <c:strCache>
                <c:ptCount val="5"/>
                <c:pt idx="0">
                  <c:v>Bus Rapid Transit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'Bus Rapid Transit'!$I$2:$I$6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835208"/>
        <c:axId val="367835600"/>
      </c:barChart>
      <c:catAx>
        <c:axId val="367835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835600"/>
        <c:crosses val="autoZero"/>
        <c:auto val="1"/>
        <c:lblAlgn val="ctr"/>
        <c:lblOffset val="100"/>
        <c:noMultiLvlLbl val="0"/>
      </c:catAx>
      <c:valAx>
        <c:axId val="367835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835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 Rapid Transit'!$J$1</c:f>
              <c:strCache>
                <c:ptCount val="1"/>
                <c:pt idx="0">
                  <c:v>Greenhouse 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'Bus Rapid Transit'!$D$2:$D$6</c:f>
              <c:strCache>
                <c:ptCount val="5"/>
                <c:pt idx="0">
                  <c:v>Bus Rapid Transit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'Bus Rapid Transit'!$J$2:$J$6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836384"/>
        <c:axId val="367836776"/>
      </c:barChart>
      <c:catAx>
        <c:axId val="36783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836776"/>
        <c:crosses val="autoZero"/>
        <c:auto val="1"/>
        <c:lblAlgn val="ctr"/>
        <c:lblOffset val="100"/>
        <c:noMultiLvlLbl val="0"/>
      </c:catAx>
      <c:valAx>
        <c:axId val="367836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83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331491366760069"/>
          <c:y val="0.16774044605680835"/>
          <c:w val="0.81414145050954134"/>
          <c:h val="0.6576963350785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 Rail - Diesel'!$J$37</c:f>
              <c:strCache>
                <c:ptCount val="1"/>
                <c:pt idx="0">
                  <c:v>Greenhouse Gas Savings From 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Diesel'!$H$38:$L$38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'Comm Rail - Diesel'!$H$39:$L$39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283864"/>
        <c:axId val="234284256"/>
      </c:barChart>
      <c:catAx>
        <c:axId val="234283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234284256"/>
        <c:crossesAt val="0"/>
        <c:auto val="1"/>
        <c:lblAlgn val="ctr"/>
        <c:lblOffset val="100"/>
        <c:noMultiLvlLbl val="0"/>
      </c:catAx>
      <c:valAx>
        <c:axId val="234284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4283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 Rapid Transit'!$K$1</c:f>
              <c:strCache>
                <c:ptCount val="1"/>
                <c:pt idx="0">
                  <c:v>Fuel - GGE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'Bus Rapid Transit'!$D$2:$D$6</c:f>
              <c:strCache>
                <c:ptCount val="5"/>
                <c:pt idx="0">
                  <c:v>Bus Rapid Transit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'Bus Rapid Transit'!$K$2:$K$6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837560"/>
        <c:axId val="367837952"/>
      </c:barChart>
      <c:catAx>
        <c:axId val="367837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837952"/>
        <c:crosses val="autoZero"/>
        <c:auto val="1"/>
        <c:lblAlgn val="ctr"/>
        <c:lblOffset val="100"/>
        <c:noMultiLvlLbl val="0"/>
      </c:catAx>
      <c:valAx>
        <c:axId val="367837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837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6737179487179644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5937296828722"/>
          <c:y val="0.18338196006749155"/>
          <c:w val="0.77258975655565987"/>
          <c:h val="0.68245887232845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'Commuter Bus'!$E$1</c:f>
              <c:strCache>
                <c:ptCount val="1"/>
                <c:pt idx="0">
                  <c:v>Nitrogen Oxides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'Commuter Bus'!$D$2:$D$6</c:f>
              <c:strCache>
                <c:ptCount val="5"/>
                <c:pt idx="0">
                  <c:v>Commuter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'Commuter Bus'!$E$2:$E$6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839128"/>
        <c:axId val="367839520"/>
      </c:barChart>
      <c:catAx>
        <c:axId val="367839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839520"/>
        <c:crosses val="autoZero"/>
        <c:auto val="1"/>
        <c:lblAlgn val="ctr"/>
        <c:lblOffset val="100"/>
        <c:noMultiLvlLbl val="0"/>
      </c:catAx>
      <c:valAx>
        <c:axId val="367839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839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933532446375238"/>
          <c:y val="0.17829474175897506"/>
          <c:w val="0.77537731921440856"/>
          <c:h val="0.7155541839049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'Commuter Bus'!$F$1</c:f>
              <c:strCache>
                <c:ptCount val="1"/>
                <c:pt idx="0">
                  <c:v>Hydrocarbons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'Commuter Bus'!$D$2:$D$6</c:f>
              <c:strCache>
                <c:ptCount val="5"/>
                <c:pt idx="0">
                  <c:v>Commuter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'Commuter Bus'!$F$2:$F$6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840304"/>
        <c:axId val="367840696"/>
      </c:barChart>
      <c:catAx>
        <c:axId val="36784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840696"/>
        <c:crosses val="autoZero"/>
        <c:auto val="1"/>
        <c:lblAlgn val="ctr"/>
        <c:lblOffset val="100"/>
        <c:noMultiLvlLbl val="0"/>
      </c:catAx>
      <c:valAx>
        <c:axId val="367840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84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719739342926962"/>
          <c:y val="0.18868860562833234"/>
          <c:w val="0.77751525024889134"/>
          <c:h val="0.6989721408142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'Commuter Bus'!$G$1</c:f>
              <c:strCache>
                <c:ptCount val="1"/>
                <c:pt idx="0">
                  <c:v>Carbon Monoxide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'Commuter Bus'!$D$2:$D$6</c:f>
              <c:strCache>
                <c:ptCount val="5"/>
                <c:pt idx="0">
                  <c:v>Commuter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'Commuter Bus'!$G$2:$G$6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841480"/>
        <c:axId val="367841872"/>
      </c:barChart>
      <c:catAx>
        <c:axId val="367841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841872"/>
        <c:crosses val="autoZero"/>
        <c:auto val="1"/>
        <c:lblAlgn val="ctr"/>
        <c:lblOffset val="100"/>
        <c:noMultiLvlLbl val="0"/>
      </c:catAx>
      <c:valAx>
        <c:axId val="367841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841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35069895587108"/>
          <c:y val="0.16631291822310607"/>
          <c:w val="0.82010566522127082"/>
          <c:h val="0.69267313428824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'Commuter Bus'!$G$11:$K$11</c:f>
              <c:strCache>
                <c:ptCount val="5"/>
                <c:pt idx="0">
                  <c:v>Criteria Air Pollutants Mitigated By Transit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'Commuter Bus'!$G$12:$K$12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'Commuter Bus'!$G$13:$K$13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7842656"/>
        <c:axId val="368381608"/>
      </c:barChart>
      <c:catAx>
        <c:axId val="36784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368381608"/>
        <c:crosses val="autoZero"/>
        <c:auto val="1"/>
        <c:lblAlgn val="ctr"/>
        <c:lblOffset val="0"/>
        <c:noMultiLvlLbl val="0"/>
      </c:catAx>
      <c:valAx>
        <c:axId val="368381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78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331491366760069"/>
          <c:y val="0.16774044605680835"/>
          <c:w val="0.81414145050954134"/>
          <c:h val="0.6576963350785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'Commuter Bus'!$G$37:$K$37</c:f>
              <c:strCache>
                <c:ptCount val="5"/>
                <c:pt idx="0">
                  <c:v>GreenhouseGasSavingsFromTransit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'Commuter Bus'!$G$38:$K$38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'Commuter Bus'!$G$39:$K$39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8382392"/>
        <c:axId val="368382784"/>
      </c:barChart>
      <c:catAx>
        <c:axId val="368382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368382784"/>
        <c:crossesAt val="0"/>
        <c:auto val="1"/>
        <c:lblAlgn val="ctr"/>
        <c:lblOffset val="100"/>
        <c:noMultiLvlLbl val="0"/>
      </c:catAx>
      <c:valAx>
        <c:axId val="368382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68382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Gasoline Gallon Equivalents Saved By Transit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13272667263896"/>
          <c:y val="0.15032494953878797"/>
          <c:w val="0.82231961274301801"/>
          <c:h val="0.66587471841610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'Commuter Bus'!$G$62:$K$62</c:f>
              <c:strCache>
                <c:ptCount val="5"/>
                <c:pt idx="0">
                  <c:v>Gasoline Gallon Equivalents Saved by 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'Commuter Bus'!$G$63:$K$63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Energy Usage</c:v>
                </c:pt>
                <c:pt idx="4">
                  <c:v>Net Savings From Transit</c:v>
                </c:pt>
              </c:strCache>
            </c:strRef>
          </c:cat>
          <c:val>
            <c:numRef>
              <c:f>'Commuter Bus'!$G$64:$K$64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8383568"/>
        <c:axId val="368383960"/>
      </c:barChart>
      <c:catAx>
        <c:axId val="36838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8383960"/>
        <c:crosses val="autoZero"/>
        <c:auto val="1"/>
        <c:lblAlgn val="ctr"/>
        <c:lblOffset val="100"/>
        <c:noMultiLvlLbl val="0"/>
      </c:catAx>
      <c:valAx>
        <c:axId val="3683839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8383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'Commuter Bus'!$H$1</c:f>
              <c:strCache>
                <c:ptCount val="1"/>
                <c:pt idx="0">
                  <c:v>Particulate Matter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'Commuter Bus'!$D$2:$D$6</c:f>
              <c:strCache>
                <c:ptCount val="5"/>
                <c:pt idx="0">
                  <c:v>Commuter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'Commuter Bus'!$H$2:$H$6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8384744"/>
        <c:axId val="368385136"/>
      </c:barChart>
      <c:catAx>
        <c:axId val="368384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385136"/>
        <c:crosses val="autoZero"/>
        <c:auto val="1"/>
        <c:lblAlgn val="ctr"/>
        <c:lblOffset val="100"/>
        <c:noMultiLvlLbl val="0"/>
      </c:catAx>
      <c:valAx>
        <c:axId val="3683851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8384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'Commuter Bus'!$I$1</c:f>
              <c:strCache>
                <c:ptCount val="1"/>
                <c:pt idx="0">
                  <c:v>Sulfur Oxides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'Commuter Bus'!$D$2:$D$6</c:f>
              <c:strCache>
                <c:ptCount val="5"/>
                <c:pt idx="0">
                  <c:v>Commuter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'Commuter Bus'!$I$2:$I$6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8385920"/>
        <c:axId val="368386312"/>
      </c:barChart>
      <c:catAx>
        <c:axId val="36838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386312"/>
        <c:crosses val="autoZero"/>
        <c:auto val="1"/>
        <c:lblAlgn val="ctr"/>
        <c:lblOffset val="100"/>
        <c:noMultiLvlLbl val="0"/>
      </c:catAx>
      <c:valAx>
        <c:axId val="3683863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8385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'Commuter Bus'!$J$1</c:f>
              <c:strCache>
                <c:ptCount val="1"/>
                <c:pt idx="0">
                  <c:v>Greenhouse 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'Commuter Bus'!$D$2:$D$6</c:f>
              <c:strCache>
                <c:ptCount val="5"/>
                <c:pt idx="0">
                  <c:v>Commuter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'Commuter Bus'!$J$2:$J$6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8387096"/>
        <c:axId val="368387488"/>
      </c:barChart>
      <c:catAx>
        <c:axId val="36838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387488"/>
        <c:crosses val="autoZero"/>
        <c:auto val="1"/>
        <c:lblAlgn val="ctr"/>
        <c:lblOffset val="100"/>
        <c:noMultiLvlLbl val="0"/>
      </c:catAx>
      <c:valAx>
        <c:axId val="3683874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8387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Gasoline Gallon Equivalents Saved By Transit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12075062473476"/>
          <c:y val="0.15032494953878797"/>
          <c:w val="0.81633158879092205"/>
          <c:h val="0.678547230565251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 Rail - Diesel'!$H$64:$L$64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Energy Usage</c:v>
                </c:pt>
                <c:pt idx="4">
                  <c:v>Net Savings From Transit</c:v>
                </c:pt>
              </c:strCache>
            </c:strRef>
          </c:cat>
          <c:val>
            <c:numRef>
              <c:f>'Comm Rail - Diesel'!$H$65:$L$65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309704"/>
        <c:axId val="234310096"/>
      </c:barChart>
      <c:catAx>
        <c:axId val="234309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234310096"/>
        <c:crosses val="autoZero"/>
        <c:auto val="1"/>
        <c:lblAlgn val="ctr"/>
        <c:lblOffset val="100"/>
        <c:noMultiLvlLbl val="0"/>
      </c:catAx>
      <c:valAx>
        <c:axId val="234310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309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'Commuter Bus'!$K$1</c:f>
              <c:strCache>
                <c:ptCount val="1"/>
                <c:pt idx="0">
                  <c:v>Fuel - GGE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'Commuter Bus'!$D$2:$D$6</c:f>
              <c:strCache>
                <c:ptCount val="5"/>
                <c:pt idx="0">
                  <c:v>Commuter Bus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'Commuter Bus'!$K$2:$K$6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8388272"/>
        <c:axId val="368388664"/>
      </c:barChart>
      <c:catAx>
        <c:axId val="36838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388664"/>
        <c:crosses val="autoZero"/>
        <c:auto val="1"/>
        <c:lblAlgn val="ctr"/>
        <c:lblOffset val="100"/>
        <c:noMultiLvlLbl val="0"/>
      </c:catAx>
      <c:valAx>
        <c:axId val="3683886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8388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6737179487179644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5937296828722"/>
          <c:y val="0.18338196006749155"/>
          <c:w val="0.77258975655565987"/>
          <c:h val="0.68245887232845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Vanpool!$E$1</c:f>
              <c:strCache>
                <c:ptCount val="1"/>
                <c:pt idx="0">
                  <c:v>Nitrogen Oxides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Vanpool!$D$2:$D$6</c:f>
              <c:strCache>
                <c:ptCount val="5"/>
                <c:pt idx="0">
                  <c:v>Vanpool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Vanpool!$E$2:$E$6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8705680"/>
        <c:axId val="368706072"/>
      </c:barChart>
      <c:catAx>
        <c:axId val="36870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706072"/>
        <c:crosses val="autoZero"/>
        <c:auto val="1"/>
        <c:lblAlgn val="ctr"/>
        <c:lblOffset val="100"/>
        <c:noMultiLvlLbl val="0"/>
      </c:catAx>
      <c:valAx>
        <c:axId val="368706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870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933532446375238"/>
          <c:y val="0.17829474175897506"/>
          <c:w val="0.77537731921440856"/>
          <c:h val="0.7155541839049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Vanpool!$F$1</c:f>
              <c:strCache>
                <c:ptCount val="1"/>
                <c:pt idx="0">
                  <c:v>Hydrocarbons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Vanpool!$D$2:$D$6</c:f>
              <c:strCache>
                <c:ptCount val="5"/>
                <c:pt idx="0">
                  <c:v>Vanpool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Vanpool!$F$2:$F$6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8706856"/>
        <c:axId val="368707248"/>
      </c:barChart>
      <c:catAx>
        <c:axId val="36870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707248"/>
        <c:crosses val="autoZero"/>
        <c:auto val="1"/>
        <c:lblAlgn val="ctr"/>
        <c:lblOffset val="100"/>
        <c:noMultiLvlLbl val="0"/>
      </c:catAx>
      <c:valAx>
        <c:axId val="368707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8706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719739342926962"/>
          <c:y val="0.18868860562833234"/>
          <c:w val="0.77751525024889134"/>
          <c:h val="0.69897214081423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Vanpool!$G$1</c:f>
              <c:strCache>
                <c:ptCount val="1"/>
                <c:pt idx="0">
                  <c:v>Carbon Monoxide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Vanpool!$D$2:$D$6</c:f>
              <c:strCache>
                <c:ptCount val="5"/>
                <c:pt idx="0">
                  <c:v>Vanpool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Vanpool!$G$2:$G$6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8708032"/>
        <c:axId val="368708424"/>
      </c:barChart>
      <c:catAx>
        <c:axId val="36870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708424"/>
        <c:crosses val="autoZero"/>
        <c:auto val="1"/>
        <c:lblAlgn val="ctr"/>
        <c:lblOffset val="100"/>
        <c:noMultiLvlLbl val="0"/>
      </c:catAx>
      <c:valAx>
        <c:axId val="368708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870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35069895587108"/>
          <c:y val="0.16631291822310607"/>
          <c:w val="0.82010566522127082"/>
          <c:h val="0.69267313428824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Vanpool!$G$12</c:f>
              <c:strCache>
                <c:ptCount val="1"/>
                <c:pt idx="0">
                  <c:v>Criteria Air Pollutants Mitigated By Transit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Vanpool!$G$13:$K$13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Vanpool!$G$14:$K$14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8709208"/>
        <c:axId val="368709600"/>
      </c:barChart>
      <c:catAx>
        <c:axId val="36870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en-US"/>
          </a:p>
        </c:txPr>
        <c:crossAx val="368709600"/>
        <c:crosses val="autoZero"/>
        <c:auto val="1"/>
        <c:lblAlgn val="ctr"/>
        <c:lblOffset val="0"/>
        <c:noMultiLvlLbl val="0"/>
      </c:catAx>
      <c:valAx>
        <c:axId val="368709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8709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331491366760069"/>
          <c:y val="0.16774044605680835"/>
          <c:w val="0.81414145050954134"/>
          <c:h val="0.6576963350785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Vanpool!$G$38</c:f>
              <c:strCache>
                <c:ptCount val="1"/>
                <c:pt idx="0">
                  <c:v>GreenhouseGasSavingsFromTransit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Vanpool!$G$39:$K$39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Emission Effects</c:v>
                </c:pt>
                <c:pt idx="4">
                  <c:v>Net Savings From Transit</c:v>
                </c:pt>
              </c:strCache>
            </c:strRef>
          </c:cat>
          <c:val>
            <c:numRef>
              <c:f>Vanpool!$G$40:$K$40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8710384"/>
        <c:axId val="368710776"/>
      </c:barChart>
      <c:catAx>
        <c:axId val="36871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>
                <a:ln>
                  <a:noFill/>
                </a:ln>
              </a:defRPr>
            </a:pPr>
            <a:endParaRPr lang="en-US"/>
          </a:p>
        </c:txPr>
        <c:crossAx val="368710776"/>
        <c:crossesAt val="0"/>
        <c:auto val="1"/>
        <c:lblAlgn val="ctr"/>
        <c:lblOffset val="100"/>
        <c:noMultiLvlLbl val="0"/>
      </c:catAx>
      <c:valAx>
        <c:axId val="368710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6871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Gasoline Gallon Equivalents Saved By Transit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513272667263896"/>
          <c:y val="0.15032494953878797"/>
          <c:w val="0.82231961274301801"/>
          <c:h val="0.66587471841610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Vanpool!$G$63</c:f>
              <c:strCache>
                <c:ptCount val="1"/>
                <c:pt idx="0">
                  <c:v>Gasoline Gallon Equivalents Saved by Transit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Vanpool!$G$64:$K$64</c:f>
              <c:strCache>
                <c:ptCount val="5"/>
                <c:pt idx="0">
                  <c:v>Effect of Transit Use Rather Than Driving</c:v>
                </c:pt>
                <c:pt idx="1">
                  <c:v>Congestion Mitigation Effects</c:v>
                </c:pt>
                <c:pt idx="2">
                  <c:v>Compact Land-Use Effects</c:v>
                </c:pt>
                <c:pt idx="3">
                  <c:v>Transit Energy Usage</c:v>
                </c:pt>
                <c:pt idx="4">
                  <c:v>Net Savings From Transit</c:v>
                </c:pt>
              </c:strCache>
            </c:strRef>
          </c:cat>
          <c:val>
            <c:numRef>
              <c:f>Vanpool!$G$65:$K$65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8711560"/>
        <c:axId val="368711952"/>
      </c:barChart>
      <c:catAx>
        <c:axId val="368711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8711952"/>
        <c:crosses val="autoZero"/>
        <c:auto val="1"/>
        <c:lblAlgn val="ctr"/>
        <c:lblOffset val="100"/>
        <c:noMultiLvlLbl val="0"/>
      </c:catAx>
      <c:valAx>
        <c:axId val="368711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8711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Vanpool!$H$1</c:f>
              <c:strCache>
                <c:ptCount val="1"/>
                <c:pt idx="0">
                  <c:v>Particulate Matter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Vanpool!$D$2:$D$6</c:f>
              <c:strCache>
                <c:ptCount val="5"/>
                <c:pt idx="0">
                  <c:v>Vanpool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Vanpool!$H$2:$H$6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8712736"/>
        <c:axId val="369526560"/>
      </c:barChart>
      <c:catAx>
        <c:axId val="36871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526560"/>
        <c:crosses val="autoZero"/>
        <c:auto val="1"/>
        <c:lblAlgn val="ctr"/>
        <c:lblOffset val="100"/>
        <c:noMultiLvlLbl val="0"/>
      </c:catAx>
      <c:valAx>
        <c:axId val="369526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871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197650524631305"/>
          <c:y val="0.15878324171742683"/>
          <c:w val="0.78261933770980718"/>
          <c:h val="0.74668221660971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Vanpool!$I$1</c:f>
              <c:strCache>
                <c:ptCount val="1"/>
                <c:pt idx="0">
                  <c:v>Sulfur Oxides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Vanpool!$D$2:$D$6</c:f>
              <c:strCache>
                <c:ptCount val="5"/>
                <c:pt idx="0">
                  <c:v>Vanpool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Vanpool!$I$2:$I$6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9527344"/>
        <c:axId val="369527736"/>
      </c:barChart>
      <c:catAx>
        <c:axId val="36952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527736"/>
        <c:crosses val="autoZero"/>
        <c:auto val="1"/>
        <c:lblAlgn val="ctr"/>
        <c:lblOffset val="100"/>
        <c:noMultiLvlLbl val="0"/>
      </c:catAx>
      <c:valAx>
        <c:axId val="369527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952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Vanpool!$J$1</c:f>
              <c:strCache>
                <c:ptCount val="1"/>
                <c:pt idx="0">
                  <c:v>Greenhouse 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Vanpool!$D$2:$D$6</c:f>
              <c:strCache>
                <c:ptCount val="5"/>
                <c:pt idx="0">
                  <c:v>Vanpool</c:v>
                </c:pt>
                <c:pt idx="1">
                  <c:v>Fleet Upgrade</c:v>
                </c:pt>
                <c:pt idx="2">
                  <c:v>Rider Savings</c:v>
                </c:pt>
                <c:pt idx="3">
                  <c:v>Increased Ridership</c:v>
                </c:pt>
                <c:pt idx="4">
                  <c:v>Seat Capacity</c:v>
                </c:pt>
              </c:strCache>
            </c:strRef>
          </c:cat>
          <c:val>
            <c:numRef>
              <c:f>Vanpool!$J$2:$J$6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9528520"/>
        <c:axId val="369528912"/>
      </c:barChart>
      <c:catAx>
        <c:axId val="36952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528912"/>
        <c:crosses val="autoZero"/>
        <c:auto val="1"/>
        <c:lblAlgn val="ctr"/>
        <c:lblOffset val="100"/>
        <c:noMultiLvlLbl val="0"/>
      </c:catAx>
      <c:valAx>
        <c:axId val="369528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9528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10" Type="http://schemas.openxmlformats.org/officeDocument/2006/relationships/chart" Target="../charts/chart100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3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10" Type="http://schemas.openxmlformats.org/officeDocument/2006/relationships/chart" Target="../charts/chart60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10" Type="http://schemas.openxmlformats.org/officeDocument/2006/relationships/chart" Target="../charts/chart70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10" Type="http://schemas.openxmlformats.org/officeDocument/2006/relationships/chart" Target="../charts/chart90.xml"/><Relationship Id="rId4" Type="http://schemas.openxmlformats.org/officeDocument/2006/relationships/chart" Target="../charts/chart84.xml"/><Relationship Id="rId9" Type="http://schemas.openxmlformats.org/officeDocument/2006/relationships/chart" Target="../charts/chart8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12</xdr:row>
      <xdr:rowOff>0</xdr:rowOff>
    </xdr:from>
    <xdr:to>
      <xdr:col>6</xdr:col>
      <xdr:colOff>25400</xdr:colOff>
      <xdr:row>29</xdr:row>
      <xdr:rowOff>12700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1866900</xdr:colOff>
      <xdr:row>30</xdr:row>
      <xdr:rowOff>38100</xdr:rowOff>
    </xdr:from>
    <xdr:to>
      <xdr:col>6</xdr:col>
      <xdr:colOff>25400</xdr:colOff>
      <xdr:row>43</xdr:row>
      <xdr:rowOff>171450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1866901</xdr:colOff>
      <xdr:row>45</xdr:row>
      <xdr:rowOff>25400</xdr:rowOff>
    </xdr:from>
    <xdr:to>
      <xdr:col>6</xdr:col>
      <xdr:colOff>1</xdr:colOff>
      <xdr:row>61</xdr:row>
      <xdr:rowOff>165100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12700</xdr:colOff>
      <xdr:row>63</xdr:row>
      <xdr:rowOff>0</xdr:rowOff>
    </xdr:from>
    <xdr:to>
      <xdr:col>6</xdr:col>
      <xdr:colOff>0</xdr:colOff>
      <xdr:row>78</xdr:row>
      <xdr:rowOff>25400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12700</xdr:colOff>
      <xdr:row>96</xdr:row>
      <xdr:rowOff>152400</xdr:rowOff>
    </xdr:from>
    <xdr:to>
      <xdr:col>6</xdr:col>
      <xdr:colOff>0</xdr:colOff>
      <xdr:row>113</xdr:row>
      <xdr:rowOff>152400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25400</xdr:colOff>
      <xdr:row>114</xdr:row>
      <xdr:rowOff>139700</xdr:rowOff>
    </xdr:from>
    <xdr:to>
      <xdr:col>6</xdr:col>
      <xdr:colOff>25400</xdr:colOff>
      <xdr:row>132</xdr:row>
      <xdr:rowOff>139700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12</xdr:col>
      <xdr:colOff>25400</xdr:colOff>
      <xdr:row>34</xdr:row>
      <xdr:rowOff>165100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12700</xdr:colOff>
      <xdr:row>39</xdr:row>
      <xdr:rowOff>165100</xdr:rowOff>
    </xdr:from>
    <xdr:to>
      <xdr:col>12</xdr:col>
      <xdr:colOff>38100</xdr:colOff>
      <xdr:row>60</xdr:row>
      <xdr:rowOff>69850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66</xdr:row>
      <xdr:rowOff>0</xdr:rowOff>
    </xdr:from>
    <xdr:to>
      <xdr:col>12</xdr:col>
      <xdr:colOff>12700</xdr:colOff>
      <xdr:row>86</xdr:row>
      <xdr:rowOff>139700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12700</xdr:colOff>
      <xdr:row>78</xdr:row>
      <xdr:rowOff>152400</xdr:rowOff>
    </xdr:from>
    <xdr:to>
      <xdr:col>6</xdr:col>
      <xdr:colOff>0</xdr:colOff>
      <xdr:row>95</xdr:row>
      <xdr:rowOff>152400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1066800</xdr:colOff>
      <xdr:row>29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165100</xdr:rowOff>
    </xdr:from>
    <xdr:to>
      <xdr:col>5</xdr:col>
      <xdr:colOff>1054100</xdr:colOff>
      <xdr:row>46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48</xdr:row>
      <xdr:rowOff>0</xdr:rowOff>
    </xdr:from>
    <xdr:to>
      <xdr:col>5</xdr:col>
      <xdr:colOff>1066800</xdr:colOff>
      <xdr:row>65</xdr:row>
      <xdr:rowOff>12700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12700</xdr:colOff>
      <xdr:row>35</xdr:row>
      <xdr:rowOff>165100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</xdr:colOff>
      <xdr:row>41</xdr:row>
      <xdr:rowOff>12700</xdr:rowOff>
    </xdr:from>
    <xdr:to>
      <xdr:col>10</xdr:col>
      <xdr:colOff>1333500</xdr:colOff>
      <xdr:row>61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12700</xdr:colOff>
      <xdr:row>66</xdr:row>
      <xdr:rowOff>0</xdr:rowOff>
    </xdr:from>
    <xdr:to>
      <xdr:col>10</xdr:col>
      <xdr:colOff>1333500</xdr:colOff>
      <xdr:row>86</xdr:row>
      <xdr:rowOff>139700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65</xdr:row>
      <xdr:rowOff>165100</xdr:rowOff>
    </xdr:from>
    <xdr:to>
      <xdr:col>5</xdr:col>
      <xdr:colOff>1041400</xdr:colOff>
      <xdr:row>86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12700</xdr:colOff>
      <xdr:row>87</xdr:row>
      <xdr:rowOff>0</xdr:rowOff>
    </xdr:from>
    <xdr:to>
      <xdr:col>5</xdr:col>
      <xdr:colOff>1041400</xdr:colOff>
      <xdr:row>105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12700</xdr:colOff>
      <xdr:row>106</xdr:row>
      <xdr:rowOff>25400</xdr:rowOff>
    </xdr:from>
    <xdr:to>
      <xdr:col>5</xdr:col>
      <xdr:colOff>1041400</xdr:colOff>
      <xdr:row>124</xdr:row>
      <xdr:rowOff>12700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125</xdr:row>
      <xdr:rowOff>38100</xdr:rowOff>
    </xdr:from>
    <xdr:to>
      <xdr:col>5</xdr:col>
      <xdr:colOff>1041400</xdr:colOff>
      <xdr:row>143</xdr:row>
      <xdr:rowOff>165100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16</xdr:col>
      <xdr:colOff>774700</xdr:colOff>
      <xdr:row>28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34</xdr:row>
      <xdr:rowOff>0</xdr:rowOff>
    </xdr:from>
    <xdr:to>
      <xdr:col>16</xdr:col>
      <xdr:colOff>800100</xdr:colOff>
      <xdr:row>55</xdr:row>
      <xdr:rowOff>165100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61</xdr:row>
      <xdr:rowOff>0</xdr:rowOff>
    </xdr:from>
    <xdr:to>
      <xdr:col>16</xdr:col>
      <xdr:colOff>774700</xdr:colOff>
      <xdr:row>85</xdr:row>
      <xdr:rowOff>152400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9</xdr:row>
      <xdr:rowOff>0</xdr:rowOff>
    </xdr:from>
    <xdr:to>
      <xdr:col>6</xdr:col>
      <xdr:colOff>25400</xdr:colOff>
      <xdr:row>24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1181100</xdr:colOff>
      <xdr:row>25</xdr:row>
      <xdr:rowOff>0</xdr:rowOff>
    </xdr:from>
    <xdr:to>
      <xdr:col>6</xdr:col>
      <xdr:colOff>12700</xdr:colOff>
      <xdr:row>40</xdr:row>
      <xdr:rowOff>158750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1181100</xdr:colOff>
      <xdr:row>42</xdr:row>
      <xdr:rowOff>0</xdr:rowOff>
    </xdr:from>
    <xdr:to>
      <xdr:col>6</xdr:col>
      <xdr:colOff>12700</xdr:colOff>
      <xdr:row>57</xdr:row>
      <xdr:rowOff>165100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59</xdr:row>
      <xdr:rowOff>0</xdr:rowOff>
    </xdr:from>
    <xdr:to>
      <xdr:col>6</xdr:col>
      <xdr:colOff>0</xdr:colOff>
      <xdr:row>76</xdr:row>
      <xdr:rowOff>50800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1168400</xdr:colOff>
      <xdr:row>77</xdr:row>
      <xdr:rowOff>0</xdr:rowOff>
    </xdr:from>
    <xdr:to>
      <xdr:col>5</xdr:col>
      <xdr:colOff>1333500</xdr:colOff>
      <xdr:row>94</xdr:row>
      <xdr:rowOff>38100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95</xdr:row>
      <xdr:rowOff>0</xdr:rowOff>
    </xdr:from>
    <xdr:to>
      <xdr:col>5</xdr:col>
      <xdr:colOff>1333500</xdr:colOff>
      <xdr:row>111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12700</xdr:colOff>
      <xdr:row>112</xdr:row>
      <xdr:rowOff>0</xdr:rowOff>
    </xdr:from>
    <xdr:to>
      <xdr:col>6</xdr:col>
      <xdr:colOff>0</xdr:colOff>
      <xdr:row>127</xdr:row>
      <xdr:rowOff>152400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12</xdr:col>
      <xdr:colOff>25400</xdr:colOff>
      <xdr:row>33</xdr:row>
      <xdr:rowOff>165100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12</xdr:col>
      <xdr:colOff>25400</xdr:colOff>
      <xdr:row>59</xdr:row>
      <xdr:rowOff>82550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64</xdr:row>
      <xdr:rowOff>0</xdr:rowOff>
    </xdr:from>
    <xdr:to>
      <xdr:col>12</xdr:col>
      <xdr:colOff>12700</xdr:colOff>
      <xdr:row>84</xdr:row>
      <xdr:rowOff>139700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6</xdr:col>
      <xdr:colOff>25400</xdr:colOff>
      <xdr:row>25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27</xdr:row>
      <xdr:rowOff>12700</xdr:rowOff>
    </xdr:from>
    <xdr:to>
      <xdr:col>6</xdr:col>
      <xdr:colOff>12700</xdr:colOff>
      <xdr:row>45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1168400</xdr:colOff>
      <xdr:row>46</xdr:row>
      <xdr:rowOff>25400</xdr:rowOff>
    </xdr:from>
    <xdr:to>
      <xdr:col>6</xdr:col>
      <xdr:colOff>0</xdr:colOff>
      <xdr:row>62</xdr:row>
      <xdr:rowOff>25400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63</xdr:row>
      <xdr:rowOff>38100</xdr:rowOff>
    </xdr:from>
    <xdr:to>
      <xdr:col>6</xdr:col>
      <xdr:colOff>0</xdr:colOff>
      <xdr:row>83</xdr:row>
      <xdr:rowOff>127000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85</xdr:row>
      <xdr:rowOff>0</xdr:rowOff>
    </xdr:from>
    <xdr:to>
      <xdr:col>6</xdr:col>
      <xdr:colOff>0</xdr:colOff>
      <xdr:row>102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103</xdr:row>
      <xdr:rowOff>38100</xdr:rowOff>
    </xdr:from>
    <xdr:to>
      <xdr:col>6</xdr:col>
      <xdr:colOff>0</xdr:colOff>
      <xdr:row>122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1181100</xdr:colOff>
      <xdr:row>123</xdr:row>
      <xdr:rowOff>12700</xdr:rowOff>
    </xdr:from>
    <xdr:to>
      <xdr:col>6</xdr:col>
      <xdr:colOff>12700</xdr:colOff>
      <xdr:row>141</xdr:row>
      <xdr:rowOff>152400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12</xdr:col>
      <xdr:colOff>25400</xdr:colOff>
      <xdr:row>33</xdr:row>
      <xdr:rowOff>165100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12</xdr:col>
      <xdr:colOff>25400</xdr:colOff>
      <xdr:row>59</xdr:row>
      <xdr:rowOff>82550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64</xdr:row>
      <xdr:rowOff>0</xdr:rowOff>
    </xdr:from>
    <xdr:to>
      <xdr:col>12</xdr:col>
      <xdr:colOff>12700</xdr:colOff>
      <xdr:row>84</xdr:row>
      <xdr:rowOff>139700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6</xdr:col>
      <xdr:colOff>25400</xdr:colOff>
      <xdr:row>26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165100</xdr:rowOff>
    </xdr:from>
    <xdr:to>
      <xdr:col>6</xdr:col>
      <xdr:colOff>12700</xdr:colOff>
      <xdr:row>43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45</xdr:row>
      <xdr:rowOff>38100</xdr:rowOff>
    </xdr:from>
    <xdr:to>
      <xdr:col>6</xdr:col>
      <xdr:colOff>12700</xdr:colOff>
      <xdr:row>63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6</xdr:col>
      <xdr:colOff>0</xdr:colOff>
      <xdr:row>85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12700</xdr:colOff>
      <xdr:row>86</xdr:row>
      <xdr:rowOff>25400</xdr:rowOff>
    </xdr:from>
    <xdr:to>
      <xdr:col>5</xdr:col>
      <xdr:colOff>1320800</xdr:colOff>
      <xdr:row>104</xdr:row>
      <xdr:rowOff>25400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105</xdr:row>
      <xdr:rowOff>0</xdr:rowOff>
    </xdr:from>
    <xdr:to>
      <xdr:col>5</xdr:col>
      <xdr:colOff>1333500</xdr:colOff>
      <xdr:row>122</xdr:row>
      <xdr:rowOff>165100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12700</xdr:colOff>
      <xdr:row>124</xdr:row>
      <xdr:rowOff>12700</xdr:rowOff>
    </xdr:from>
    <xdr:to>
      <xdr:col>6</xdr:col>
      <xdr:colOff>12700</xdr:colOff>
      <xdr:row>141</xdr:row>
      <xdr:rowOff>152400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12</xdr:col>
      <xdr:colOff>25400</xdr:colOff>
      <xdr:row>33</xdr:row>
      <xdr:rowOff>165100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12</xdr:col>
      <xdr:colOff>25400</xdr:colOff>
      <xdr:row>59</xdr:row>
      <xdr:rowOff>82550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64</xdr:row>
      <xdr:rowOff>0</xdr:rowOff>
    </xdr:from>
    <xdr:to>
      <xdr:col>12</xdr:col>
      <xdr:colOff>12700</xdr:colOff>
      <xdr:row>84</xdr:row>
      <xdr:rowOff>139700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6</xdr:col>
      <xdr:colOff>25400</xdr:colOff>
      <xdr:row>25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6</xdr:col>
      <xdr:colOff>12700</xdr:colOff>
      <xdr:row>44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6</xdr:col>
      <xdr:colOff>12700</xdr:colOff>
      <xdr:row>63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6</xdr:col>
      <xdr:colOff>0</xdr:colOff>
      <xdr:row>84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5</xdr:col>
      <xdr:colOff>1333500</xdr:colOff>
      <xdr:row>103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104</xdr:row>
      <xdr:rowOff>0</xdr:rowOff>
    </xdr:from>
    <xdr:to>
      <xdr:col>5</xdr:col>
      <xdr:colOff>1333500</xdr:colOff>
      <xdr:row>121</xdr:row>
      <xdr:rowOff>165100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6</xdr:col>
      <xdr:colOff>0</xdr:colOff>
      <xdr:row>140</xdr:row>
      <xdr:rowOff>139700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12</xdr:col>
      <xdr:colOff>25400</xdr:colOff>
      <xdr:row>33</xdr:row>
      <xdr:rowOff>165100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12</xdr:col>
      <xdr:colOff>25400</xdr:colOff>
      <xdr:row>59</xdr:row>
      <xdr:rowOff>82550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64</xdr:row>
      <xdr:rowOff>0</xdr:rowOff>
    </xdr:from>
    <xdr:to>
      <xdr:col>12</xdr:col>
      <xdr:colOff>12700</xdr:colOff>
      <xdr:row>84</xdr:row>
      <xdr:rowOff>139700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6</xdr:col>
      <xdr:colOff>25400</xdr:colOff>
      <xdr:row>25</xdr:row>
      <xdr:rowOff>165100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6</xdr:col>
      <xdr:colOff>12700</xdr:colOff>
      <xdr:row>44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6</xdr:col>
      <xdr:colOff>12700</xdr:colOff>
      <xdr:row>63</xdr:row>
      <xdr:rowOff>38100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6</xdr:col>
      <xdr:colOff>0</xdr:colOff>
      <xdr:row>84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5</xdr:col>
      <xdr:colOff>1333500</xdr:colOff>
      <xdr:row>103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104</xdr:row>
      <xdr:rowOff>0</xdr:rowOff>
    </xdr:from>
    <xdr:to>
      <xdr:col>5</xdr:col>
      <xdr:colOff>1333500</xdr:colOff>
      <xdr:row>121</xdr:row>
      <xdr:rowOff>165100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6</xdr:col>
      <xdr:colOff>0</xdr:colOff>
      <xdr:row>140</xdr:row>
      <xdr:rowOff>139700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12</xdr:col>
      <xdr:colOff>25400</xdr:colOff>
      <xdr:row>33</xdr:row>
      <xdr:rowOff>165100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12</xdr:col>
      <xdr:colOff>25400</xdr:colOff>
      <xdr:row>59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64</xdr:row>
      <xdr:rowOff>0</xdr:rowOff>
    </xdr:from>
    <xdr:to>
      <xdr:col>12</xdr:col>
      <xdr:colOff>12700</xdr:colOff>
      <xdr:row>84</xdr:row>
      <xdr:rowOff>139700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1066800</xdr:colOff>
      <xdr:row>29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165100</xdr:rowOff>
    </xdr:from>
    <xdr:to>
      <xdr:col>5</xdr:col>
      <xdr:colOff>1054100</xdr:colOff>
      <xdr:row>46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48</xdr:row>
      <xdr:rowOff>0</xdr:rowOff>
    </xdr:from>
    <xdr:to>
      <xdr:col>5</xdr:col>
      <xdr:colOff>1066800</xdr:colOff>
      <xdr:row>65</xdr:row>
      <xdr:rowOff>12700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12700</xdr:colOff>
      <xdr:row>35</xdr:row>
      <xdr:rowOff>165100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</xdr:colOff>
      <xdr:row>41</xdr:row>
      <xdr:rowOff>12700</xdr:rowOff>
    </xdr:from>
    <xdr:to>
      <xdr:col>10</xdr:col>
      <xdr:colOff>1333500</xdr:colOff>
      <xdr:row>61</xdr:row>
      <xdr:rowOff>12700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12700</xdr:colOff>
      <xdr:row>66</xdr:row>
      <xdr:rowOff>0</xdr:rowOff>
    </xdr:from>
    <xdr:to>
      <xdr:col>10</xdr:col>
      <xdr:colOff>1333500</xdr:colOff>
      <xdr:row>86</xdr:row>
      <xdr:rowOff>139700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65</xdr:row>
      <xdr:rowOff>165100</xdr:rowOff>
    </xdr:from>
    <xdr:to>
      <xdr:col>5</xdr:col>
      <xdr:colOff>1041400</xdr:colOff>
      <xdr:row>86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12700</xdr:colOff>
      <xdr:row>87</xdr:row>
      <xdr:rowOff>0</xdr:rowOff>
    </xdr:from>
    <xdr:to>
      <xdr:col>5</xdr:col>
      <xdr:colOff>1041400</xdr:colOff>
      <xdr:row>105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12700</xdr:colOff>
      <xdr:row>106</xdr:row>
      <xdr:rowOff>25400</xdr:rowOff>
    </xdr:from>
    <xdr:to>
      <xdr:col>5</xdr:col>
      <xdr:colOff>1041400</xdr:colOff>
      <xdr:row>124</xdr:row>
      <xdr:rowOff>12700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125</xdr:row>
      <xdr:rowOff>38100</xdr:rowOff>
    </xdr:from>
    <xdr:to>
      <xdr:col>5</xdr:col>
      <xdr:colOff>1041400</xdr:colOff>
      <xdr:row>143</xdr:row>
      <xdr:rowOff>165100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1066800</xdr:colOff>
      <xdr:row>29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165100</xdr:rowOff>
    </xdr:from>
    <xdr:to>
      <xdr:col>5</xdr:col>
      <xdr:colOff>1054100</xdr:colOff>
      <xdr:row>46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48</xdr:row>
      <xdr:rowOff>0</xdr:rowOff>
    </xdr:from>
    <xdr:to>
      <xdr:col>5</xdr:col>
      <xdr:colOff>1066800</xdr:colOff>
      <xdr:row>65</xdr:row>
      <xdr:rowOff>12700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12700</xdr:colOff>
      <xdr:row>35</xdr:row>
      <xdr:rowOff>165100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</xdr:colOff>
      <xdr:row>41</xdr:row>
      <xdr:rowOff>12700</xdr:rowOff>
    </xdr:from>
    <xdr:to>
      <xdr:col>10</xdr:col>
      <xdr:colOff>1333500</xdr:colOff>
      <xdr:row>61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12700</xdr:colOff>
      <xdr:row>66</xdr:row>
      <xdr:rowOff>0</xdr:rowOff>
    </xdr:from>
    <xdr:to>
      <xdr:col>10</xdr:col>
      <xdr:colOff>1333500</xdr:colOff>
      <xdr:row>86</xdr:row>
      <xdr:rowOff>139700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65</xdr:row>
      <xdr:rowOff>165100</xdr:rowOff>
    </xdr:from>
    <xdr:to>
      <xdr:col>5</xdr:col>
      <xdr:colOff>1041400</xdr:colOff>
      <xdr:row>86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12700</xdr:colOff>
      <xdr:row>87</xdr:row>
      <xdr:rowOff>0</xdr:rowOff>
    </xdr:from>
    <xdr:to>
      <xdr:col>5</xdr:col>
      <xdr:colOff>1041400</xdr:colOff>
      <xdr:row>105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12700</xdr:colOff>
      <xdr:row>106</xdr:row>
      <xdr:rowOff>25400</xdr:rowOff>
    </xdr:from>
    <xdr:to>
      <xdr:col>5</xdr:col>
      <xdr:colOff>1041400</xdr:colOff>
      <xdr:row>124</xdr:row>
      <xdr:rowOff>12700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125</xdr:row>
      <xdr:rowOff>38100</xdr:rowOff>
    </xdr:from>
    <xdr:to>
      <xdr:col>5</xdr:col>
      <xdr:colOff>1041400</xdr:colOff>
      <xdr:row>143</xdr:row>
      <xdr:rowOff>165100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5</xdr:col>
      <xdr:colOff>1066800</xdr:colOff>
      <xdr:row>28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165100</xdr:rowOff>
    </xdr:from>
    <xdr:to>
      <xdr:col>5</xdr:col>
      <xdr:colOff>1054100</xdr:colOff>
      <xdr:row>45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47</xdr:row>
      <xdr:rowOff>0</xdr:rowOff>
    </xdr:from>
    <xdr:to>
      <xdr:col>5</xdr:col>
      <xdr:colOff>1066800</xdr:colOff>
      <xdr:row>64</xdr:row>
      <xdr:rowOff>12700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11</xdr:col>
      <xdr:colOff>12700</xdr:colOff>
      <xdr:row>34</xdr:row>
      <xdr:rowOff>165100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</xdr:colOff>
      <xdr:row>40</xdr:row>
      <xdr:rowOff>12700</xdr:rowOff>
    </xdr:from>
    <xdr:to>
      <xdr:col>10</xdr:col>
      <xdr:colOff>1333500</xdr:colOff>
      <xdr:row>60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12700</xdr:colOff>
      <xdr:row>65</xdr:row>
      <xdr:rowOff>0</xdr:rowOff>
    </xdr:from>
    <xdr:to>
      <xdr:col>10</xdr:col>
      <xdr:colOff>1333500</xdr:colOff>
      <xdr:row>85</xdr:row>
      <xdr:rowOff>139700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165100</xdr:rowOff>
    </xdr:from>
    <xdr:to>
      <xdr:col>5</xdr:col>
      <xdr:colOff>1041400</xdr:colOff>
      <xdr:row>85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12700</xdr:colOff>
      <xdr:row>86</xdr:row>
      <xdr:rowOff>0</xdr:rowOff>
    </xdr:from>
    <xdr:to>
      <xdr:col>5</xdr:col>
      <xdr:colOff>1041400</xdr:colOff>
      <xdr:row>104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12700</xdr:colOff>
      <xdr:row>105</xdr:row>
      <xdr:rowOff>25400</xdr:rowOff>
    </xdr:from>
    <xdr:to>
      <xdr:col>5</xdr:col>
      <xdr:colOff>1041400</xdr:colOff>
      <xdr:row>123</xdr:row>
      <xdr:rowOff>12700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124</xdr:row>
      <xdr:rowOff>38100</xdr:rowOff>
    </xdr:from>
    <xdr:to>
      <xdr:col>5</xdr:col>
      <xdr:colOff>1041400</xdr:colOff>
      <xdr:row>142</xdr:row>
      <xdr:rowOff>165100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="85" zoomScaleNormal="85" workbookViewId="0"/>
  </sheetViews>
  <sheetFormatPr defaultRowHeight="15" x14ac:dyDescent="0.25"/>
  <cols>
    <col min="1" max="1" width="31.140625" customWidth="1"/>
    <col min="2" max="9" width="16.7109375" customWidth="1"/>
    <col min="10" max="10" width="18.7109375" customWidth="1"/>
  </cols>
  <sheetData>
    <row r="1" spans="1:10" x14ac:dyDescent="0.25">
      <c r="A1" s="139" t="s">
        <v>0</v>
      </c>
      <c r="B1" s="63"/>
      <c r="C1" s="12"/>
      <c r="D1" s="49"/>
      <c r="E1" s="49"/>
      <c r="F1" s="49"/>
      <c r="G1" s="11"/>
      <c r="H1" s="34"/>
      <c r="I1" s="34"/>
      <c r="J1" s="1"/>
    </row>
    <row r="2" spans="1:10" x14ac:dyDescent="0.25">
      <c r="A2" s="35"/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8" t="s">
        <v>6</v>
      </c>
      <c r="H2" s="34"/>
      <c r="I2" s="34"/>
      <c r="J2" s="1"/>
    </row>
    <row r="3" spans="1:10" x14ac:dyDescent="0.25">
      <c r="A3" s="35" t="s">
        <v>125</v>
      </c>
      <c r="B3" s="53"/>
      <c r="C3" s="53"/>
      <c r="D3" s="53"/>
      <c r="E3" s="53"/>
      <c r="F3" s="19">
        <f>IF(C3=0,0,E3/C3)</f>
        <v>0</v>
      </c>
      <c r="G3" s="54"/>
      <c r="H3" s="34"/>
      <c r="I3" s="34"/>
      <c r="J3" s="1"/>
    </row>
    <row r="4" spans="1:10" x14ac:dyDescent="0.25">
      <c r="A4" s="35" t="s">
        <v>126</v>
      </c>
      <c r="B4" s="53"/>
      <c r="C4" s="53"/>
      <c r="D4" s="53"/>
      <c r="E4" s="53"/>
      <c r="F4" s="19">
        <f>IF(C4=0,0,E4/C4)</f>
        <v>0</v>
      </c>
      <c r="G4" s="54"/>
      <c r="H4" s="34"/>
      <c r="I4" s="34"/>
      <c r="J4" s="1"/>
    </row>
    <row r="5" spans="1:10" x14ac:dyDescent="0.25">
      <c r="A5" s="35" t="s">
        <v>127</v>
      </c>
      <c r="B5" s="53"/>
      <c r="C5" s="53"/>
      <c r="D5" s="53"/>
      <c r="E5" s="53"/>
      <c r="F5" s="19">
        <f t="shared" ref="F5:F19" si="0">IF(C5=0,0,E5/C5)</f>
        <v>0</v>
      </c>
      <c r="G5" s="54"/>
      <c r="H5" s="34"/>
      <c r="I5" s="34"/>
      <c r="J5" s="1"/>
    </row>
    <row r="6" spans="1:10" x14ac:dyDescent="0.25">
      <c r="A6" s="35" t="s">
        <v>128</v>
      </c>
      <c r="B6" s="53"/>
      <c r="C6" s="53"/>
      <c r="D6" s="53"/>
      <c r="E6" s="53"/>
      <c r="F6" s="19">
        <f t="shared" si="0"/>
        <v>0</v>
      </c>
      <c r="G6" s="54"/>
      <c r="H6" s="34"/>
      <c r="I6" s="34"/>
      <c r="J6" s="1"/>
    </row>
    <row r="7" spans="1:10" s="34" customFormat="1" x14ac:dyDescent="0.25">
      <c r="A7" s="35" t="s">
        <v>129</v>
      </c>
      <c r="B7" s="53"/>
      <c r="C7" s="53"/>
      <c r="D7" s="53"/>
      <c r="E7" s="53"/>
      <c r="F7" s="19">
        <f t="shared" si="0"/>
        <v>0</v>
      </c>
      <c r="G7" s="54"/>
    </row>
    <row r="8" spans="1:10" s="34" customFormat="1" x14ac:dyDescent="0.25">
      <c r="A8" s="35" t="s">
        <v>130</v>
      </c>
      <c r="B8" s="53"/>
      <c r="C8" s="53"/>
      <c r="D8" s="53"/>
      <c r="E8" s="53"/>
      <c r="F8" s="19">
        <f t="shared" si="0"/>
        <v>0</v>
      </c>
      <c r="G8" s="54"/>
    </row>
    <row r="9" spans="1:10" x14ac:dyDescent="0.25">
      <c r="A9" s="35" t="s">
        <v>124</v>
      </c>
      <c r="B9" s="53"/>
      <c r="C9" s="53"/>
      <c r="D9" s="53"/>
      <c r="E9" s="53"/>
      <c r="F9" s="19">
        <f t="shared" si="0"/>
        <v>0</v>
      </c>
      <c r="G9" s="54"/>
      <c r="H9" s="34"/>
      <c r="I9" s="34"/>
      <c r="J9" s="1"/>
    </row>
    <row r="10" spans="1:10" x14ac:dyDescent="0.25">
      <c r="A10" s="35" t="s">
        <v>133</v>
      </c>
      <c r="B10" s="53"/>
      <c r="C10" s="53"/>
      <c r="D10" s="53"/>
      <c r="E10" s="53"/>
      <c r="F10" s="19">
        <f t="shared" si="0"/>
        <v>0</v>
      </c>
      <c r="G10" s="54"/>
      <c r="H10" s="34"/>
      <c r="I10" s="34"/>
      <c r="J10" s="1"/>
    </row>
    <row r="11" spans="1:10" s="34" customFormat="1" x14ac:dyDescent="0.25">
      <c r="A11" s="35" t="s">
        <v>131</v>
      </c>
      <c r="B11" s="53"/>
      <c r="C11" s="53"/>
      <c r="D11" s="53"/>
      <c r="E11" s="53"/>
      <c r="F11" s="19">
        <f t="shared" si="0"/>
        <v>0</v>
      </c>
      <c r="G11" s="54"/>
    </row>
    <row r="12" spans="1:10" s="34" customFormat="1" x14ac:dyDescent="0.25">
      <c r="A12" s="35" t="s">
        <v>137</v>
      </c>
      <c r="B12" s="53"/>
      <c r="C12" s="53"/>
      <c r="D12" s="53"/>
      <c r="E12" s="53"/>
      <c r="F12" s="19">
        <f t="shared" si="0"/>
        <v>0</v>
      </c>
      <c r="G12" s="54"/>
    </row>
    <row r="13" spans="1:10" s="34" customFormat="1" x14ac:dyDescent="0.25">
      <c r="A13" s="35" t="s">
        <v>134</v>
      </c>
      <c r="B13" s="53"/>
      <c r="C13" s="53"/>
      <c r="D13" s="53"/>
      <c r="E13" s="53"/>
      <c r="F13" s="19">
        <f t="shared" si="0"/>
        <v>0</v>
      </c>
      <c r="G13" s="54"/>
    </row>
    <row r="14" spans="1:10" s="34" customFormat="1" x14ac:dyDescent="0.25">
      <c r="A14" s="35" t="s">
        <v>132</v>
      </c>
      <c r="B14" s="53"/>
      <c r="C14" s="53"/>
      <c r="D14" s="53"/>
      <c r="E14" s="53"/>
      <c r="F14" s="19">
        <f t="shared" si="0"/>
        <v>0</v>
      </c>
      <c r="G14" s="54"/>
    </row>
    <row r="15" spans="1:10" s="34" customFormat="1" x14ac:dyDescent="0.25">
      <c r="A15" s="35" t="s">
        <v>138</v>
      </c>
      <c r="B15" s="53"/>
      <c r="C15" s="53"/>
      <c r="D15" s="53"/>
      <c r="E15" s="53"/>
      <c r="F15" s="19">
        <f t="shared" si="0"/>
        <v>0</v>
      </c>
      <c r="G15" s="54"/>
    </row>
    <row r="16" spans="1:10" s="34" customFormat="1" x14ac:dyDescent="0.25">
      <c r="A16" s="35" t="s">
        <v>135</v>
      </c>
      <c r="B16" s="53"/>
      <c r="C16" s="53"/>
      <c r="D16" s="53"/>
      <c r="E16" s="53"/>
      <c r="F16" s="19">
        <f t="shared" si="0"/>
        <v>0</v>
      </c>
      <c r="G16" s="54"/>
    </row>
    <row r="17" spans="1:10" x14ac:dyDescent="0.25">
      <c r="A17" s="35" t="s">
        <v>139</v>
      </c>
      <c r="B17" s="53"/>
      <c r="C17" s="53"/>
      <c r="D17" s="53"/>
      <c r="E17" s="53"/>
      <c r="F17" s="19">
        <f t="shared" si="0"/>
        <v>0</v>
      </c>
      <c r="G17" s="54"/>
      <c r="H17" s="34"/>
      <c r="I17" s="34"/>
      <c r="J17" s="1"/>
    </row>
    <row r="18" spans="1:10" x14ac:dyDescent="0.25">
      <c r="A18" s="35" t="s">
        <v>136</v>
      </c>
      <c r="B18" s="53"/>
      <c r="C18" s="53"/>
      <c r="D18" s="53"/>
      <c r="E18" s="53"/>
      <c r="F18" s="19">
        <f t="shared" si="0"/>
        <v>0</v>
      </c>
      <c r="G18" s="54"/>
      <c r="H18" s="34"/>
      <c r="I18" s="34"/>
      <c r="J18" s="1"/>
    </row>
    <row r="19" spans="1:10" ht="15.75" thickBot="1" x14ac:dyDescent="0.3">
      <c r="A19" s="36" t="s">
        <v>140</v>
      </c>
      <c r="B19" s="140"/>
      <c r="C19" s="140"/>
      <c r="D19" s="140"/>
      <c r="E19" s="140"/>
      <c r="F19" s="50">
        <f t="shared" si="0"/>
        <v>0</v>
      </c>
      <c r="G19" s="141"/>
      <c r="H19" s="34"/>
      <c r="I19" s="34"/>
      <c r="J19" s="1"/>
    </row>
    <row r="20" spans="1:10" x14ac:dyDescent="0.25">
      <c r="A20" s="2"/>
      <c r="B20" s="2"/>
      <c r="C20" s="2"/>
      <c r="D20" s="2"/>
      <c r="E20" s="2"/>
      <c r="F20" s="2"/>
      <c r="G20" s="34"/>
      <c r="H20" s="34"/>
      <c r="I20" s="34"/>
      <c r="J20" s="1"/>
    </row>
    <row r="21" spans="1:10" ht="15.75" thickBot="1" x14ac:dyDescent="0.3">
      <c r="A21" s="3"/>
      <c r="B21" s="2"/>
      <c r="C21" s="2"/>
      <c r="D21" s="34"/>
      <c r="E21" s="34"/>
      <c r="F21" s="34"/>
      <c r="G21" s="34"/>
      <c r="H21" s="34"/>
      <c r="I21" s="34"/>
      <c r="J21" s="1"/>
    </row>
    <row r="22" spans="1:10" x14ac:dyDescent="0.25">
      <c r="A22" s="170" t="s">
        <v>112</v>
      </c>
      <c r="B22" s="171"/>
      <c r="C22" s="171"/>
      <c r="D22" s="171"/>
      <c r="E22" s="171"/>
      <c r="F22" s="171"/>
      <c r="G22" s="172"/>
      <c r="H22" s="1"/>
    </row>
    <row r="23" spans="1:10" ht="30" x14ac:dyDescent="0.25">
      <c r="A23" s="35" t="s">
        <v>69</v>
      </c>
      <c r="B23" s="26" t="s">
        <v>9</v>
      </c>
      <c r="C23" s="26" t="s">
        <v>10</v>
      </c>
      <c r="D23" s="26" t="s">
        <v>11</v>
      </c>
      <c r="E23" s="26" t="s">
        <v>12</v>
      </c>
      <c r="F23" s="26" t="s">
        <v>70</v>
      </c>
      <c r="G23" s="27" t="s">
        <v>13</v>
      </c>
    </row>
    <row r="24" spans="1:10" x14ac:dyDescent="0.25">
      <c r="A24" s="28"/>
      <c r="B24" s="29"/>
      <c r="C24" s="29"/>
      <c r="D24" s="29"/>
      <c r="E24" s="29"/>
      <c r="F24" s="29"/>
      <c r="G24" s="30"/>
      <c r="H24" s="32" t="s">
        <v>15</v>
      </c>
    </row>
    <row r="25" spans="1:10" ht="15.75" thickBot="1" x14ac:dyDescent="0.3">
      <c r="A25" s="60"/>
      <c r="B25" s="57"/>
      <c r="C25" s="57"/>
      <c r="D25" s="57"/>
      <c r="E25" s="57"/>
      <c r="F25" s="57"/>
      <c r="G25" s="31"/>
      <c r="H25" s="33" t="s">
        <v>68</v>
      </c>
    </row>
    <row r="26" spans="1:10" x14ac:dyDescent="0.25">
      <c r="A26" s="5"/>
      <c r="B26" s="6"/>
      <c r="C26" s="2"/>
      <c r="D26" s="2"/>
      <c r="E26" s="2"/>
      <c r="F26" s="25"/>
      <c r="G26" s="34"/>
      <c r="H26" s="34"/>
      <c r="I26" s="34"/>
    </row>
    <row r="27" spans="1:10" ht="15.75" thickBot="1" x14ac:dyDescent="0.3">
      <c r="A27" s="2"/>
      <c r="B27" s="2"/>
      <c r="C27" s="2"/>
      <c r="D27" s="2"/>
      <c r="E27" s="2"/>
      <c r="F27" s="2"/>
      <c r="G27" s="34"/>
      <c r="H27" s="34"/>
      <c r="I27" s="34"/>
    </row>
    <row r="28" spans="1:10" ht="30" x14ac:dyDescent="0.25">
      <c r="A28" s="7"/>
      <c r="B28" s="8" t="s">
        <v>17</v>
      </c>
      <c r="C28" s="8" t="s">
        <v>18</v>
      </c>
      <c r="D28" s="8" t="s">
        <v>19</v>
      </c>
      <c r="E28" s="8" t="s">
        <v>20</v>
      </c>
      <c r="F28" s="8" t="s">
        <v>71</v>
      </c>
      <c r="G28" s="8" t="s">
        <v>21</v>
      </c>
      <c r="H28" s="9" t="s">
        <v>22</v>
      </c>
      <c r="I28" s="34"/>
      <c r="J28" s="34"/>
    </row>
    <row r="29" spans="1:10" x14ac:dyDescent="0.25">
      <c r="A29" s="35" t="s">
        <v>23</v>
      </c>
      <c r="B29" s="147"/>
      <c r="C29" s="147"/>
      <c r="D29" s="147"/>
      <c r="E29" s="147"/>
      <c r="F29" s="58">
        <f>IF(B3=0,0,7.3*453.6*15/1000000*2)</f>
        <v>0</v>
      </c>
      <c r="G29" s="55">
        <v>10210</v>
      </c>
      <c r="H29" s="18">
        <v>0.88100000000000001</v>
      </c>
      <c r="I29" s="34"/>
      <c r="J29" s="34"/>
    </row>
    <row r="30" spans="1:10" x14ac:dyDescent="0.25">
      <c r="A30" s="35" t="s">
        <v>84</v>
      </c>
      <c r="B30" s="17">
        <f>IF(A24+A25=0,0,IF(B24=0,B25*2000*453.6/A25/1000,B24*2000*453.6/A24/1000))</f>
        <v>0</v>
      </c>
      <c r="C30" s="17">
        <f>IF(A25=0,0,C25*2000*453.6/A25/1000)</f>
        <v>0</v>
      </c>
      <c r="D30" s="17">
        <f>IF(A25=0,0,D25*2000*453.6/A25/1000)</f>
        <v>0</v>
      </c>
      <c r="E30" s="58">
        <f>IF(A25=0,0,E25*2000*453.6/A25/1000)</f>
        <v>0</v>
      </c>
      <c r="F30" s="58">
        <f>IF(A24+A25=0,0,IF(F24=0,F25*2000*453.6/A25/1000,F24*2000*453.6/A24/1000))</f>
        <v>0</v>
      </c>
      <c r="G30" s="17">
        <f>IF(A24=0,0,G24*2000*453.6/A24/1000)</f>
        <v>0</v>
      </c>
      <c r="H30" s="18">
        <v>33.4</v>
      </c>
      <c r="I30" s="34"/>
      <c r="J30" s="34"/>
    </row>
    <row r="31" spans="1:10" x14ac:dyDescent="0.25">
      <c r="A31" s="35" t="s">
        <v>24</v>
      </c>
      <c r="B31" s="10">
        <v>0.22</v>
      </c>
      <c r="C31" s="10">
        <v>0.02</v>
      </c>
      <c r="D31" s="16">
        <v>10.02</v>
      </c>
      <c r="E31" s="58">
        <v>3.0000000000000001E-3</v>
      </c>
      <c r="F31" s="58">
        <f>IF((D9+D12+D15)=0,0,H31/(D9+D12+D15)*(B9+B12+B15)*0.3/100/7000*453.6*2)</f>
        <v>0</v>
      </c>
      <c r="G31" s="55">
        <f>IF(D9+D12+D15=0,0,H31*0.0546*1000*(B9+B12+B15)/(D9+D12+D15))</f>
        <v>0</v>
      </c>
      <c r="H31" s="18">
        <v>126.67</v>
      </c>
      <c r="I31" s="20">
        <v>131.72999999999999</v>
      </c>
      <c r="J31" s="34" t="s">
        <v>25</v>
      </c>
    </row>
    <row r="32" spans="1:10" x14ac:dyDescent="0.25">
      <c r="A32" s="35" t="s">
        <v>26</v>
      </c>
      <c r="B32" s="75"/>
      <c r="C32" s="10">
        <v>0.14000000000000001</v>
      </c>
      <c r="D32" s="10">
        <v>0.74</v>
      </c>
      <c r="E32" s="166"/>
      <c r="F32" s="58">
        <f>IF((D10+D13+D16)=0,0,7.3/(D10+D13+D16)*(B10+B13+B16)*453.6*15/1000000*2)</f>
        <v>0</v>
      </c>
      <c r="G32" s="55">
        <f>IF(D10+D13+D16=0,0,10.21*1000*(B10+B13+B16)/(D10+D13+D16))</f>
        <v>0</v>
      </c>
      <c r="H32" s="18">
        <v>0.88100000000000001</v>
      </c>
      <c r="I32" s="34"/>
      <c r="J32" s="34"/>
    </row>
    <row r="33" spans="1:10" x14ac:dyDescent="0.25">
      <c r="A33" s="35" t="s">
        <v>27</v>
      </c>
      <c r="B33" s="10">
        <v>0.22600000000000001</v>
      </c>
      <c r="C33" s="10">
        <v>0.14299999999999999</v>
      </c>
      <c r="D33" s="10">
        <v>2.6320000000000001</v>
      </c>
      <c r="E33" s="58">
        <v>3.3399999999999999E-2</v>
      </c>
      <c r="F33" s="58">
        <f>IF(D17=0,0,H33/D17*B17*0.3/100/7000*453.6*2)</f>
        <v>0</v>
      </c>
      <c r="G33" s="55">
        <f>IF(D17=0,0,H33*0.0546*1000*B17/D17)</f>
        <v>0</v>
      </c>
      <c r="H33" s="18">
        <v>126.67</v>
      </c>
      <c r="I33" s="34"/>
      <c r="J33" s="34"/>
    </row>
    <row r="34" spans="1:10" x14ac:dyDescent="0.25">
      <c r="A34" s="35" t="s">
        <v>28</v>
      </c>
      <c r="B34" s="13">
        <v>1.4670000000000001</v>
      </c>
      <c r="C34" s="13">
        <v>0.191</v>
      </c>
      <c r="D34" s="13">
        <v>0.75800000000000001</v>
      </c>
      <c r="E34" s="52">
        <v>0.13880000000000001</v>
      </c>
      <c r="F34" s="58">
        <f>IF(D18=0,0,7.3/D18*B18*453.6*15/1000000*2)</f>
        <v>0</v>
      </c>
      <c r="G34" s="55">
        <f>IF(D18=0,0,10.21*1000*B18/D18)</f>
        <v>0</v>
      </c>
      <c r="H34" s="18">
        <v>0.88100000000000001</v>
      </c>
      <c r="I34" s="34"/>
      <c r="J34" s="34"/>
    </row>
    <row r="35" spans="1:10" x14ac:dyDescent="0.25">
      <c r="A35" s="35" t="s">
        <v>29</v>
      </c>
      <c r="B35" s="13">
        <v>0.95</v>
      </c>
      <c r="C35" s="13">
        <v>1.224</v>
      </c>
      <c r="D35" s="13">
        <v>11.84</v>
      </c>
      <c r="E35" s="52">
        <v>9.4000000000000004E-3</v>
      </c>
      <c r="F35" s="58">
        <f>IF(D19=0,0,6.2/D19*B19*453.6*30/1000000*2)</f>
        <v>0</v>
      </c>
      <c r="G35" s="55">
        <f>IF(D19=0,0,8.78*1000*B19/D19)</f>
        <v>0</v>
      </c>
      <c r="H35" s="24">
        <f>IF(D19=0,0,B19/D19)</f>
        <v>0</v>
      </c>
      <c r="I35" s="34" t="s">
        <v>30</v>
      </c>
      <c r="J35" s="34"/>
    </row>
    <row r="36" spans="1:10" ht="15.75" thickBot="1" x14ac:dyDescent="0.3">
      <c r="A36" s="36" t="s">
        <v>31</v>
      </c>
      <c r="B36" s="14">
        <v>0.69299999999999995</v>
      </c>
      <c r="C36" s="14">
        <v>1.034</v>
      </c>
      <c r="D36" s="14">
        <v>9.4</v>
      </c>
      <c r="E36" s="59">
        <v>8.5000000000000006E-3</v>
      </c>
      <c r="F36" s="142">
        <f>6.2*0.0417*453.6*30/1000000*2</f>
        <v>7.0364246400000004E-3</v>
      </c>
      <c r="G36" s="14">
        <v>368.4</v>
      </c>
      <c r="H36" s="15">
        <v>4.1489999999999999E-2</v>
      </c>
      <c r="I36" s="34" t="s">
        <v>30</v>
      </c>
      <c r="J36" s="34"/>
    </row>
    <row r="37" spans="1:10" x14ac:dyDescent="0.25">
      <c r="A37" s="34"/>
      <c r="B37" s="34"/>
      <c r="C37" s="34"/>
      <c r="D37" s="34"/>
      <c r="E37" s="34"/>
      <c r="F37" s="34"/>
      <c r="G37" s="34"/>
      <c r="H37" s="34"/>
      <c r="I37" s="34"/>
    </row>
    <row r="38" spans="1:10" ht="15.75" thickBot="1" x14ac:dyDescent="0.3">
      <c r="A38" s="34"/>
      <c r="B38" s="34"/>
      <c r="C38" s="34"/>
      <c r="D38" s="34"/>
      <c r="E38" s="34"/>
      <c r="F38" s="34"/>
      <c r="G38" s="34"/>
      <c r="H38" s="34"/>
      <c r="I38" s="34"/>
    </row>
    <row r="39" spans="1:10" ht="30" x14ac:dyDescent="0.35">
      <c r="A39" s="84" t="s">
        <v>52</v>
      </c>
      <c r="B39" s="167" t="s">
        <v>53</v>
      </c>
      <c r="C39" s="169"/>
      <c r="D39" s="167" t="s">
        <v>54</v>
      </c>
      <c r="E39" s="169"/>
      <c r="F39" s="167" t="s">
        <v>55</v>
      </c>
      <c r="G39" s="169"/>
      <c r="H39" s="167" t="s">
        <v>56</v>
      </c>
      <c r="I39" s="168"/>
    </row>
    <row r="40" spans="1:10" x14ac:dyDescent="0.25">
      <c r="A40" s="64"/>
      <c r="B40" s="65" t="s">
        <v>57</v>
      </c>
      <c r="C40" s="65" t="s">
        <v>58</v>
      </c>
      <c r="D40" s="65" t="s">
        <v>57</v>
      </c>
      <c r="E40" s="65" t="s">
        <v>58</v>
      </c>
      <c r="F40" s="65" t="s">
        <v>57</v>
      </c>
      <c r="G40" s="65" t="s">
        <v>58</v>
      </c>
      <c r="H40" s="65" t="s">
        <v>57</v>
      </c>
      <c r="I40" s="66" t="s">
        <v>58</v>
      </c>
    </row>
    <row r="41" spans="1:10" x14ac:dyDescent="0.25">
      <c r="A41" s="64" t="s">
        <v>59</v>
      </c>
      <c r="B41" s="67">
        <v>0.32</v>
      </c>
      <c r="C41" s="19">
        <f>B41*20.8</f>
        <v>6.6560000000000006</v>
      </c>
      <c r="D41" s="68">
        <v>0.48</v>
      </c>
      <c r="E41" s="19">
        <f>D41*20.8</f>
        <v>9.984</v>
      </c>
      <c r="F41" s="67">
        <v>8.6</v>
      </c>
      <c r="G41" s="19">
        <f>F41*20.8</f>
        <v>178.88</v>
      </c>
      <c r="H41" s="67">
        <v>1.28</v>
      </c>
      <c r="I41" s="18">
        <f>H41*20.8</f>
        <v>26.624000000000002</v>
      </c>
    </row>
    <row r="42" spans="1:10" x14ac:dyDescent="0.25">
      <c r="A42" s="69" t="s">
        <v>60</v>
      </c>
      <c r="B42" s="67">
        <v>0.2</v>
      </c>
      <c r="C42" s="19">
        <f t="shared" ref="C42:C48" si="1">B42*20.8</f>
        <v>4.16</v>
      </c>
      <c r="D42" s="68">
        <v>0.3</v>
      </c>
      <c r="E42" s="19">
        <f t="shared" ref="E42:E48" si="2">D42*20.8</f>
        <v>6.24</v>
      </c>
      <c r="F42" s="67">
        <v>7.2</v>
      </c>
      <c r="G42" s="19">
        <f t="shared" ref="G42:G48" si="3">F42*20.8</f>
        <v>149.76000000000002</v>
      </c>
      <c r="H42" s="67">
        <v>1.28</v>
      </c>
      <c r="I42" s="18">
        <f t="shared" ref="I42:I48" si="4">H42*20.8</f>
        <v>26.624000000000002</v>
      </c>
    </row>
    <row r="43" spans="1:10" x14ac:dyDescent="0.25">
      <c r="A43" s="69" t="s">
        <v>61</v>
      </c>
      <c r="B43" s="67">
        <v>0.32</v>
      </c>
      <c r="C43" s="19">
        <f t="shared" si="1"/>
        <v>6.6560000000000006</v>
      </c>
      <c r="D43" s="68">
        <v>0.47</v>
      </c>
      <c r="E43" s="19">
        <f t="shared" si="2"/>
        <v>9.7759999999999998</v>
      </c>
      <c r="F43" s="67">
        <v>6.7</v>
      </c>
      <c r="G43" s="19">
        <f t="shared" si="3"/>
        <v>139.36000000000001</v>
      </c>
      <c r="H43" s="67">
        <v>1.28</v>
      </c>
      <c r="I43" s="18">
        <f t="shared" si="4"/>
        <v>26.624000000000002</v>
      </c>
    </row>
    <row r="44" spans="1:10" x14ac:dyDescent="0.25">
      <c r="A44" s="69" t="s">
        <v>62</v>
      </c>
      <c r="B44" s="67">
        <v>0.2</v>
      </c>
      <c r="C44" s="19">
        <f t="shared" si="1"/>
        <v>4.16</v>
      </c>
      <c r="D44" s="68">
        <v>0.28999999999999998</v>
      </c>
      <c r="E44" s="19">
        <f t="shared" si="2"/>
        <v>6.032</v>
      </c>
      <c r="F44" s="67">
        <v>6.7</v>
      </c>
      <c r="G44" s="19">
        <f t="shared" si="3"/>
        <v>139.36000000000001</v>
      </c>
      <c r="H44" s="67">
        <v>1.28</v>
      </c>
      <c r="I44" s="18">
        <f t="shared" si="4"/>
        <v>26.624000000000002</v>
      </c>
    </row>
    <row r="45" spans="1:10" x14ac:dyDescent="0.25">
      <c r="A45" s="69" t="s">
        <v>63</v>
      </c>
      <c r="B45" s="67">
        <v>0.18</v>
      </c>
      <c r="C45" s="19">
        <f t="shared" si="1"/>
        <v>3.7439999999999998</v>
      </c>
      <c r="D45" s="68">
        <v>0.26</v>
      </c>
      <c r="E45" s="19">
        <f t="shared" si="2"/>
        <v>5.4080000000000004</v>
      </c>
      <c r="F45" s="67">
        <v>4.95</v>
      </c>
      <c r="G45" s="19">
        <f t="shared" si="3"/>
        <v>102.96000000000001</v>
      </c>
      <c r="H45" s="67">
        <v>1.28</v>
      </c>
      <c r="I45" s="18">
        <f t="shared" si="4"/>
        <v>26.624000000000002</v>
      </c>
    </row>
    <row r="46" spans="1:10" x14ac:dyDescent="0.25">
      <c r="A46" s="69" t="s">
        <v>64</v>
      </c>
      <c r="B46" s="67">
        <v>0.08</v>
      </c>
      <c r="C46" s="19">
        <f t="shared" si="1"/>
        <v>1.6640000000000001</v>
      </c>
      <c r="D46" s="68">
        <v>0.13</v>
      </c>
      <c r="E46" s="19">
        <f t="shared" si="2"/>
        <v>2.7040000000000002</v>
      </c>
      <c r="F46" s="67">
        <v>4.95</v>
      </c>
      <c r="G46" s="19">
        <f t="shared" si="3"/>
        <v>102.96000000000001</v>
      </c>
      <c r="H46" s="67">
        <v>1.28</v>
      </c>
      <c r="I46" s="18">
        <f t="shared" si="4"/>
        <v>26.624000000000002</v>
      </c>
    </row>
    <row r="47" spans="1:10" x14ac:dyDescent="0.25">
      <c r="A47" s="69" t="s">
        <v>65</v>
      </c>
      <c r="B47" s="67">
        <v>0.08</v>
      </c>
      <c r="C47" s="19">
        <f t="shared" si="1"/>
        <v>1.6640000000000001</v>
      </c>
      <c r="D47" s="68">
        <v>0.13</v>
      </c>
      <c r="E47" s="19">
        <f t="shared" si="2"/>
        <v>2.7040000000000002</v>
      </c>
      <c r="F47" s="67">
        <v>4.95</v>
      </c>
      <c r="G47" s="19">
        <f t="shared" si="3"/>
        <v>102.96000000000001</v>
      </c>
      <c r="H47" s="67">
        <v>1.28</v>
      </c>
      <c r="I47" s="18">
        <f t="shared" si="4"/>
        <v>26.624000000000002</v>
      </c>
    </row>
    <row r="48" spans="1:10" ht="15.75" thickBot="1" x14ac:dyDescent="0.3">
      <c r="A48" s="70" t="s">
        <v>66</v>
      </c>
      <c r="B48" s="71">
        <v>1.4999999999999999E-2</v>
      </c>
      <c r="C48" s="50">
        <f t="shared" si="1"/>
        <v>0.312</v>
      </c>
      <c r="D48" s="72">
        <v>0.04</v>
      </c>
      <c r="E48" s="50">
        <f t="shared" si="2"/>
        <v>0.83200000000000007</v>
      </c>
      <c r="F48" s="71">
        <v>1</v>
      </c>
      <c r="G48" s="50">
        <f t="shared" si="3"/>
        <v>20.8</v>
      </c>
      <c r="H48" s="71">
        <v>1.28</v>
      </c>
      <c r="I48" s="73">
        <f t="shared" si="4"/>
        <v>26.624000000000002</v>
      </c>
    </row>
    <row r="49" spans="1:9" x14ac:dyDescent="0.25">
      <c r="A49" s="74" t="s">
        <v>67</v>
      </c>
      <c r="B49" s="34"/>
      <c r="C49" s="34"/>
      <c r="D49" s="34"/>
      <c r="E49" s="34"/>
      <c r="F49" s="34"/>
      <c r="G49" s="34"/>
      <c r="H49" s="34"/>
      <c r="I49" s="34"/>
    </row>
    <row r="50" spans="1:9" s="34" customFormat="1" x14ac:dyDescent="0.25">
      <c r="A50" s="21"/>
    </row>
    <row r="51" spans="1:9" x14ac:dyDescent="0.25">
      <c r="A51" s="34" t="s">
        <v>32</v>
      </c>
      <c r="B51" s="34"/>
      <c r="C51" s="34"/>
      <c r="D51" s="34"/>
      <c r="E51" s="34"/>
      <c r="F51" s="34"/>
      <c r="G51" s="34"/>
      <c r="H51" s="34"/>
      <c r="I51" s="34"/>
    </row>
    <row r="52" spans="1:9" x14ac:dyDescent="0.25">
      <c r="A52" s="21" t="s">
        <v>47</v>
      </c>
      <c r="B52" s="34"/>
      <c r="C52" s="34"/>
      <c r="D52" s="34"/>
      <c r="E52" s="34"/>
      <c r="F52" s="34"/>
      <c r="G52" s="34"/>
      <c r="H52" s="34"/>
      <c r="I52" s="34"/>
    </row>
    <row r="53" spans="1:9" x14ac:dyDescent="0.25">
      <c r="A53" s="21" t="s">
        <v>48</v>
      </c>
      <c r="B53" s="34"/>
      <c r="C53" s="34"/>
      <c r="D53" s="34"/>
      <c r="E53" s="34"/>
      <c r="F53" s="34"/>
      <c r="G53" s="34"/>
      <c r="H53" s="34"/>
      <c r="I53" s="34"/>
    </row>
    <row r="54" spans="1:9" ht="15.75" x14ac:dyDescent="0.25">
      <c r="A54" s="21" t="s">
        <v>49</v>
      </c>
      <c r="B54" s="22"/>
      <c r="C54" s="22"/>
      <c r="D54" s="22"/>
      <c r="E54" s="22"/>
      <c r="F54" s="22"/>
      <c r="G54" s="22"/>
      <c r="H54" s="22"/>
      <c r="I54" s="22"/>
    </row>
    <row r="55" spans="1:9" x14ac:dyDescent="0.25">
      <c r="A55" s="23" t="s">
        <v>50</v>
      </c>
      <c r="B55" s="34"/>
      <c r="C55" s="34"/>
      <c r="D55" s="34"/>
      <c r="E55" s="34"/>
      <c r="F55" s="34"/>
      <c r="G55" s="34"/>
      <c r="H55" s="34"/>
      <c r="I55" s="34"/>
    </row>
    <row r="56" spans="1:9" x14ac:dyDescent="0.25">
      <c r="A56" s="21" t="s">
        <v>40</v>
      </c>
      <c r="B56" s="34"/>
      <c r="C56" s="34"/>
      <c r="D56" s="34"/>
      <c r="E56" s="34"/>
      <c r="F56" s="34"/>
      <c r="G56" s="34"/>
      <c r="H56" s="34"/>
      <c r="I56" s="34"/>
    </row>
    <row r="57" spans="1:9" x14ac:dyDescent="0.25">
      <c r="A57" s="21" t="s">
        <v>147</v>
      </c>
    </row>
    <row r="58" spans="1:9" x14ac:dyDescent="0.25">
      <c r="A58" s="21" t="s">
        <v>72</v>
      </c>
    </row>
  </sheetData>
  <mergeCells count="5">
    <mergeCell ref="H39:I39"/>
    <mergeCell ref="B39:C39"/>
    <mergeCell ref="D39:E39"/>
    <mergeCell ref="F39:G39"/>
    <mergeCell ref="A22:G22"/>
  </mergeCells>
  <pageMargins left="0.7" right="0.7" top="0.75" bottom="0.75" header="0.3" footer="0.3"/>
  <pageSetup orientation="portrait" verticalDpi="0" r:id="rId1"/>
  <ignoredErrors>
    <ignoredError sqref="F33:G3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75" zoomScaleNormal="75" workbookViewId="0">
      <selection sqref="A1:B1"/>
    </sheetView>
  </sheetViews>
  <sheetFormatPr defaultColWidth="9" defaultRowHeight="15" x14ac:dyDescent="0.25"/>
  <cols>
    <col min="1" max="1" width="24.5703125" style="34" customWidth="1"/>
    <col min="2" max="3" width="15.5703125" style="34" customWidth="1"/>
    <col min="4" max="11" width="17.5703125" style="34" customWidth="1"/>
    <col min="12" max="16384" width="9" style="34"/>
  </cols>
  <sheetData>
    <row r="1" spans="1:11" ht="15.75" thickBot="1" x14ac:dyDescent="0.3">
      <c r="A1" s="173">
        <f>NTD!C1</f>
        <v>0</v>
      </c>
      <c r="B1" s="168"/>
      <c r="C1" s="110"/>
      <c r="D1" s="7">
        <f>NTD!B1</f>
        <v>0</v>
      </c>
      <c r="E1" s="39" t="str">
        <f>IF($B6=453.6,"Nitrogen Oxides - Pounds",IF($B6=907200,"Nitrogen Oxides - Tons","Nitrogen Oxides"))</f>
        <v>Nitrogen Oxides</v>
      </c>
      <c r="F1" s="39" t="str">
        <f>IF($B6=453.6,"Hydrocarbons - Pounds",IF($B6=907200,"Hydrocarbons - Tons","Hydrocarbons"))</f>
        <v>Hydrocarbons</v>
      </c>
      <c r="G1" s="39" t="str">
        <f>IF($B6=453.6,"Carbon Monoxide - Pounds",IF($B6=907200,"Carbon Monoxide - Tons","Carbon Monoxide"))</f>
        <v>Carbon Monoxide</v>
      </c>
      <c r="H1" s="39" t="str">
        <f>IF($B6=453.6,"Particulate Matter - Pounds",IF($B6=907200,"Particulate Matter - Tons","Particulate Matter"))</f>
        <v>Particulate Matter</v>
      </c>
      <c r="I1" s="39" t="str">
        <f>IF($B6=453.6,"Sulfur Oxides - Pounds",IF($B6=907200,"Sulfur Oxides - Tons","Sulfur Oxides"))</f>
        <v>Sulfur Oxides</v>
      </c>
      <c r="J1" s="39" t="str">
        <f>IF($B6=453.6,"Greenhouse Gas - Pounds",IF($B6=907200,"Greenhouse Gas - Tons","Greenhouse Gas"))</f>
        <v>Greenhouse Gas</v>
      </c>
      <c r="K1" s="40" t="s">
        <v>35</v>
      </c>
    </row>
    <row r="2" spans="1:11" x14ac:dyDescent="0.25">
      <c r="A2" s="157" t="s">
        <v>51</v>
      </c>
      <c r="B2" s="92"/>
      <c r="C2" s="2" t="s">
        <v>90</v>
      </c>
      <c r="D2" s="101" t="s">
        <v>144</v>
      </c>
      <c r="E2" s="51">
        <f>IF($B6=0,0,(NTD!$D15*NTD!B31+NTD!$D16*NTD!B32)/$B6)</f>
        <v>0</v>
      </c>
      <c r="F2" s="51">
        <f>IF($B6=0,0,(NTD!$D15*NTD!C31+NTD!$D16*NTD!C32)/$B6)</f>
        <v>0</v>
      </c>
      <c r="G2" s="51">
        <f>IF($B6=0,0,(NTD!$D15*NTD!D31+NTD!$D16*NTD!D32)/$B6)</f>
        <v>0</v>
      </c>
      <c r="H2" s="51">
        <f>IF($B6=0,0,(NTD!$D15*NTD!E31+NTD!$D16*NTD!E32)/$B6)</f>
        <v>0</v>
      </c>
      <c r="I2" s="51">
        <f>IF($B6=0,0,(NTD!$D15*NTD!F31+NTD!$D16*NTD!F32)/$B6)</f>
        <v>0</v>
      </c>
      <c r="J2" s="51">
        <f>IF($B6=0,0,(NTD!$D15*NTD!G31+NTD!$D16*NTD!G32)/$B6)</f>
        <v>0</v>
      </c>
      <c r="K2" s="41">
        <f>NTD!$B15+NTD!$B16/NTD!$H32</f>
        <v>0</v>
      </c>
    </row>
    <row r="3" spans="1:11" x14ac:dyDescent="0.25">
      <c r="A3" s="4" t="s">
        <v>8</v>
      </c>
      <c r="B3" s="93"/>
      <c r="C3" s="3" t="s">
        <v>91</v>
      </c>
      <c r="D3" s="101" t="s">
        <v>106</v>
      </c>
      <c r="E3" s="51">
        <f>SUM(E8:E9)+(1-SUM($B8:$B9))*E2</f>
        <v>0</v>
      </c>
      <c r="F3" s="51">
        <f t="shared" ref="F3:K3" si="0">SUM(F8:F9)+(1-SUM($B8:$B9))*F2</f>
        <v>0</v>
      </c>
      <c r="G3" s="51">
        <f t="shared" si="0"/>
        <v>0</v>
      </c>
      <c r="H3" s="51">
        <f t="shared" si="0"/>
        <v>0</v>
      </c>
      <c r="I3" s="51">
        <f t="shared" si="0"/>
        <v>0</v>
      </c>
      <c r="J3" s="51">
        <f t="shared" si="0"/>
        <v>0</v>
      </c>
      <c r="K3" s="51">
        <f t="shared" si="0"/>
        <v>0</v>
      </c>
    </row>
    <row r="4" spans="1:11" x14ac:dyDescent="0.25">
      <c r="A4" s="4" t="s">
        <v>14</v>
      </c>
      <c r="B4" s="94"/>
      <c r="C4" s="2" t="s">
        <v>92</v>
      </c>
      <c r="D4" s="35" t="s">
        <v>34</v>
      </c>
      <c r="E4" s="55">
        <f>IF($B5=0,0,IF($B6=0,0,SUM(NTD!$E15:'NTD'!$E16)*$B2*NTD!B36/$B6+$B3*SUM(NTD!$C15:'NTD'!$C16)/SUM(NTD!$C3:$C19)*$B2/0.8/NTD!$H36*NTD!B36/$B6+SUM(NTD!$E15:'NTD'!$E16)/$B5*NTD!B36*$B4/$B6))</f>
        <v>0</v>
      </c>
      <c r="F4" s="55">
        <f>IF($B5=0,0,IF($B6=0,0,SUM(NTD!$E15:'NTD'!$E16)*$B2*NTD!C36/$B6+$B3*SUM(NTD!$C15:'NTD'!$C16)/SUM(NTD!$C3:$C19)*$B2/0.8/NTD!$H36*NTD!C36/$B6+SUM(NTD!$E15:'NTD'!$E16)/$B5*NTD!C36*$B4/$B6))</f>
        <v>0</v>
      </c>
      <c r="G4" s="55">
        <f>IF($B5=0,0,IF($B6=0,0,SUM(NTD!$E15:'NTD'!$E16)*$B2*NTD!D36/$B6+$B3*SUM(NTD!$C15:'NTD'!$C16)/SUM(NTD!$C3:$C19)*$B2/0.8/NTD!$H36*NTD!D36/$B6+SUM(NTD!$E15:'NTD'!$E16)/$B5*NTD!D36*$B4/$B6))</f>
        <v>0</v>
      </c>
      <c r="H4" s="55">
        <f>IF($B5=0,0,IF($B6=0,0,SUM(NTD!$E15:'NTD'!$E16)*$B2*NTD!E36/$B6+$B3*SUM(NTD!$C15:'NTD'!$C16)/SUM(NTD!$C3:$C19)*$B2/0.8/NTD!$H36*NTD!E36/$B6+SUM(NTD!$E15:'NTD'!$E16)/$B5*NTD!E36*$B4/$B6))</f>
        <v>0</v>
      </c>
      <c r="I4" s="55">
        <f>IF($B5=0,0,IF($B6=0,0,SUM(NTD!$E15:'NTD'!$E16)*$B2*NTD!F36/$B6+$B3*SUM(NTD!$C15:'NTD'!$C16)/SUM(NTD!$C3:$C19)*$B2/0.8/NTD!$H36*NTD!F36/$B6+SUM(NTD!$E15:'NTD'!$E16)/$B5*NTD!F36*$B4/$B6))</f>
        <v>0</v>
      </c>
      <c r="J4" s="55">
        <f>IF($B5=0,0,IF($B6=0,0,SUM(NTD!$E15:'NTD'!$E16)*$B2*NTD!G36/$B6+$B3*SUM(NTD!$C15:'NTD'!$C16)/SUM(NTD!$C3:$C19)*$B2/0.8/NTD!$H36*NTD!G36/$B6+SUM(NTD!$E15:'NTD'!$E16)/$B5*NTD!G36*$B4/$B6))</f>
        <v>0</v>
      </c>
      <c r="K4" s="56">
        <f>IF($B5=0,0,SUM(NTD!$E15:'NTD'!$E16)*$B2*NTD!H36+$B3*SUM(NTD!$C15:'NTD'!$C16)/SUM(NTD!$C3:$C19)+SUM(NTD!$E15:'NTD'!$E16)/$B5*NTD!H36*$B4)</f>
        <v>0</v>
      </c>
    </row>
    <row r="5" spans="1:11" ht="30" x14ac:dyDescent="0.25">
      <c r="A5" s="4" t="s">
        <v>16</v>
      </c>
      <c r="B5" s="94"/>
      <c r="C5" s="2" t="s">
        <v>93</v>
      </c>
      <c r="D5" s="35" t="s">
        <v>141</v>
      </c>
      <c r="E5" s="55">
        <f>IF($B5=0,0,IF($B6=0,0,(SUM(NTD!$E15:'NTD'!$E16)+SUM(NTD!$E15:'NTD'!$E16)*$B10)*$B2*NTD!B36/$B6+$B3*SUM(NTD!$C15:'NTD'!$C16)/SUM(NTD!$C3:$C19)*$B2/0.8/NTD!$H36*NTD!B36/$B6+(SUM(NTD!$E15:'NTD'!$E16)+SUM(NTD!$E15:'NTD'!$E16)*$B10)/$B5*NTD!B36*$B4/$B6))</f>
        <v>0</v>
      </c>
      <c r="F5" s="55">
        <f>IF($B5=0,0,IF($B6=0,0,(SUM(NTD!$E15:'NTD'!$E16)+SUM(NTD!$E15:'NTD'!$E16)*$B10)*$B2*NTD!C36/$B6+$B3*SUM(NTD!$C15:'NTD'!$C16)/SUM(NTD!$C3:$C19)*$B2/0.8/NTD!$H36*NTD!C36/$B6+(SUM(NTD!$E15:'NTD'!$E16)+SUM(NTD!$E15:'NTD'!$E16)*$B10)/$B5*NTD!C36*$B4/$B6))</f>
        <v>0</v>
      </c>
      <c r="G5" s="55">
        <f>IF($B5=0,0,IF($B6=0,0,(SUM(NTD!$E15:'NTD'!$E16)+SUM(NTD!$E15:'NTD'!$E16)*$B10)*$B2*NTD!D36/$B6+$B3*SUM(NTD!$C15:'NTD'!$C16)/SUM(NTD!$C3:$C19)*$B2/0.8/NTD!$H36*NTD!D36/$B6+(SUM(NTD!$E15:'NTD'!$E16)+SUM(NTD!$E15:'NTD'!$E16)*$B10)/$B5*NTD!D36*$B4/$B6))</f>
        <v>0</v>
      </c>
      <c r="H5" s="55">
        <f>IF($B5=0,0,IF($B6=0,0,(SUM(NTD!$E15:'NTD'!$E16)+SUM(NTD!$E15:'NTD'!$E16)*$B10)*$B2*NTD!E36/$B6+$B3*SUM(NTD!$C15:'NTD'!$C16)/SUM(NTD!$C3:$C19)*$B2/0.8/NTD!$H36*NTD!E36/$B6+(SUM(NTD!$E15:'NTD'!$E16)+SUM(NTD!$E15:'NTD'!$E16)*$B10)/$B5*NTD!E36*$B4/$B6))</f>
        <v>0</v>
      </c>
      <c r="I5" s="55">
        <f>IF($B5=0,0,IF($B6=0,0,(SUM(NTD!$E15:'NTD'!$E16)+SUM(NTD!$E15:'NTD'!$E16)*$B10)*$B2*NTD!F36/$B6+$B3*SUM(NTD!$C15:'NTD'!$C16)/SUM(NTD!$C3:$C19)*$B2/0.8/NTD!$H36*NTD!F36/$B6+(SUM(NTD!$E15:'NTD'!$E16)+SUM(NTD!$E15:'NTD'!$E16)*$B10)/$B5*NTD!F36*$B4/$B6))</f>
        <v>0</v>
      </c>
      <c r="J5" s="55">
        <f>IF($B5=0,0,IF($B6=0,0,(SUM(NTD!$E15:'NTD'!$E16)+SUM(NTD!$E15:'NTD'!$E16)*$B10)*$B2*NTD!G36/$B6+$B3*SUM(NTD!$C15:'NTD'!$C16)/SUM(NTD!$C3:$C19)*$B2/0.8/NTD!$H36*NTD!G36/$B6+(SUM(NTD!$E15:'NTD'!$E16)+SUM(NTD!$E15:'NTD'!$E16)*$B10)/$B5*NTD!G36*$B4/$B6))</f>
        <v>0</v>
      </c>
      <c r="K5" s="56">
        <f>IF($B5=0,0,(SUM(NTD!$E15:'NTD'!$E16)+SUM(NTD!$E15:'NTD'!$E16)*$B10)*$B2*NTD!H36+$B3*SUM(NTD!$C15:'NTD'!$C16)/SUM(NTD!$C3:'NTD'!$C19)+(SUM(NTD!$E15:'NTD'!$E16)+SUM(NTD!$E15:'NTD'!$E16)*$B10)/$B5*NTD!H36*$B4)</f>
        <v>0</v>
      </c>
    </row>
    <row r="6" spans="1:11" ht="15.75" thickBot="1" x14ac:dyDescent="0.3">
      <c r="A6" s="4" t="s">
        <v>88</v>
      </c>
      <c r="B6" s="175"/>
      <c r="C6" s="2"/>
      <c r="D6" s="36" t="s">
        <v>33</v>
      </c>
      <c r="E6" s="61">
        <f>IF($B5=0,0,IF($B6=0,0,SUM(NTD!$G15:'NTD'!$G16)*$B2*NTD!B36/$B6+$B3*SUM(NTD!$C15:'NTD'!$C16)/SUM(NTD!$C3:$C19)*$B2/0.8/NTD!$H36*NTD!B36/$B6+SUM(NTD!$G15:'NTD'!$G16)/$B5*NTD!B36*$B4/$B6))</f>
        <v>0</v>
      </c>
      <c r="F6" s="61">
        <f>IF($B5=0,0,IF($B6=0,0,SUM(NTD!$G15:'NTD'!$G16)*$B2*NTD!C36/$B6+$B3*SUM(NTD!$C15:'NTD'!$C16)/SUM(NTD!$C3:$C19)*$B2/0.8/NTD!$H36*NTD!C36/$B6+SUM(NTD!$G15:'NTD'!$G16)/$B5*NTD!C36*$B4/$B6))</f>
        <v>0</v>
      </c>
      <c r="G6" s="61">
        <f>IF($B5=0,0,IF($B6=0,0,SUM(NTD!$G15:'NTD'!$G16)*$B2*NTD!D36/$B6+$B3*SUM(NTD!$C15:'NTD'!$C16)/SUM(NTD!$C3:$C19)*$B2/0.8/NTD!$H36*NTD!D36/$B6+SUM(NTD!$G15:'NTD'!$G16)/$B5*NTD!D36*$B4/$B6))</f>
        <v>0</v>
      </c>
      <c r="H6" s="61">
        <f>IF($B5=0,0,IF($B6=0,0,SUM(NTD!$G15:'NTD'!$G16)*$B2*NTD!E36/$B6+$B3*SUM(NTD!$C15:'NTD'!$C16)/SUM(NTD!$C3:$C19)*$B2/0.8/NTD!$H36*NTD!E36/$B6+SUM(NTD!$G15:'NTD'!$G16)/$B5*NTD!E36*$B4/$B6))</f>
        <v>0</v>
      </c>
      <c r="I6" s="61">
        <f>IF($B5=0,0,IF($B6=0,0,SUM(NTD!$G15:'NTD'!$G16)*$B2*NTD!F36/$B6+$B3*SUM(NTD!$C15:'NTD'!$C16)/SUM(NTD!$C3:$C19)*$B2/0.8/NTD!$H36*NTD!F36/$B6+SUM(NTD!$G15:'NTD'!$G16)/$B5*NTD!F36*$B4/$B6))</f>
        <v>0</v>
      </c>
      <c r="J6" s="61">
        <f>IF($B5=0,0,IF($B6=0,0,SUM(NTD!$G15:'NTD'!$G16)*$B2*NTD!G36/$B6+$B3*SUM(NTD!$C15:'NTD'!$C16)/SUM(NTD!$C3:$C19)*$B2/0.8/NTD!$H36*NTD!G36/$B6+SUM(NTD!$G15:'NTD'!$G16)/$B5*NTD!G36*$B4/$B6))</f>
        <v>0</v>
      </c>
      <c r="K6" s="62">
        <f>IF($B5=0,0,SUM(NTD!$G15:'NTD'!$G16)*$B2*NTD!H36+$B3*SUM(NTD!$C15:'NTD'!$C16)/SUM(NTD!$C3:$C19)+SUM(NTD!$G15:'NTD'!$G16)/$B5*NTD!H36*$B4)</f>
        <v>0</v>
      </c>
    </row>
    <row r="7" spans="1:11" ht="15.75" thickBot="1" x14ac:dyDescent="0.3">
      <c r="A7" s="4" t="s">
        <v>89</v>
      </c>
      <c r="B7" s="176"/>
      <c r="C7" s="6" t="s">
        <v>123</v>
      </c>
    </row>
    <row r="8" spans="1:11" x14ac:dyDescent="0.25">
      <c r="A8" s="4" t="s">
        <v>120</v>
      </c>
      <c r="B8" s="154"/>
      <c r="C8" s="158"/>
      <c r="D8" s="164" t="s">
        <v>82</v>
      </c>
      <c r="E8" s="125">
        <f>IF($B6=0,0,SUM(NTD!$D15:'NTD'!$D16)*$B8*NTD!B31/$B6)</f>
        <v>0</v>
      </c>
      <c r="F8" s="125">
        <f>IF($B6=0,0,SUM(NTD!$D15:'NTD'!$D16)*$B8*NTD!C31/$B6)</f>
        <v>0</v>
      </c>
      <c r="G8" s="125">
        <f>IF($B6=0,0,SUM(NTD!$D15:'NTD'!$D16)*$B8*NTD!D31/$B6)</f>
        <v>0</v>
      </c>
      <c r="H8" s="125">
        <f>IF($B6=0,0,SUM(NTD!$D15:'NTD'!$D16)*$B8*NTD!E31/$B6)</f>
        <v>0</v>
      </c>
      <c r="I8" s="125">
        <f>IF($B8=0,0,IF(NTD!$B15=0,SUM(NTD!$D15:'NTD'!$D16)*$B8/$C8*NTD!F31/$B6,SUM(NTD!$D15:'NTD'!$D16)*$B8*NTD!$B15/NTD!$D15*NTD!F31/$B6))</f>
        <v>0</v>
      </c>
      <c r="J8" s="125">
        <f>IF($B8=0,0,IF(NTD!$B15=0,SUM(NTD!$D15:'NTD'!$D16)*$B8/$C8*NTD!G31/$B6,SUM(NTD!$D15:'NTD'!$D16)*$B8*NTD!$B15/NTD!$D15*NTD!G31/$B6))</f>
        <v>0</v>
      </c>
      <c r="K8" s="126">
        <f>IF($B8=0,0,IF(NTD!$B15=0,SUM(NTD!$D15:'NTD'!$D16)*$B8/$C8,SUM(NTD!$D15:'NTD'!$D16)*$B8/NTD!$D15*NTD!$B15))</f>
        <v>0</v>
      </c>
    </row>
    <row r="9" spans="1:11" ht="15.75" thickBot="1" x14ac:dyDescent="0.3">
      <c r="A9" s="4" t="s">
        <v>121</v>
      </c>
      <c r="B9" s="154"/>
      <c r="C9" s="158"/>
      <c r="D9" s="161" t="s">
        <v>81</v>
      </c>
      <c r="E9" s="162">
        <f>IF($B6=0,0,SUM(NTD!$D15:'NTD'!$D16)*$B9*0.86/$B6)</f>
        <v>0</v>
      </c>
      <c r="F9" s="162">
        <f>IF($B6=0,0,SUM(NTD!$D15:'NTD'!$D16)*$B9*NTD!C32/$B6)</f>
        <v>0</v>
      </c>
      <c r="G9" s="162">
        <f>IF($B6=0,0,SUM(NTD!$D15:'NTD'!$D16)*$B9*NTD!D32/$B6)</f>
        <v>0</v>
      </c>
      <c r="H9" s="162">
        <f>IF($B6=0,0,SUM(NTD!$D15:'NTD'!$D16)*$B9*0.0486/$B6)</f>
        <v>0</v>
      </c>
      <c r="I9" s="162">
        <f>IF($B9=0,0,IF(NTD!$B16=0,SUM(NTD!$D15:'NTD'!$D16)*$B9/$C9*NTD!F32/$B6,SUM(NTD!$D15:'NTD'!$D16)*$B9*NTD!$B16/NTD!$D16*NTD!F32/$B6))</f>
        <v>0</v>
      </c>
      <c r="J9" s="162">
        <f>IF($B9=0,0,IF(NTD!$B16=0,SUM(NTD!$D15:'NTD'!$D16)*$B9/$C9*NTD!G32/$B6,SUM(NTD!$D15:'NTD'!$D16)*$B9*NTD!$B16/NTD!$D16*NTD!G32/$B6))</f>
        <v>0</v>
      </c>
      <c r="K9" s="163">
        <f>IF($B9=0,0,IF(NTD!$B16=0,SUM(NTD!$D15:'NTD'!$D16)*$B9/$C9/NTD!H32,SUM(NTD!$D15:'NTD'!$D16)*$B9/NTD!$D16*NTD!$B16/NTD!H32))</f>
        <v>0</v>
      </c>
    </row>
    <row r="10" spans="1:11" ht="15.75" thickBot="1" x14ac:dyDescent="0.3">
      <c r="A10" s="76" t="s">
        <v>73</v>
      </c>
      <c r="B10" s="95"/>
      <c r="C10" s="97"/>
    </row>
    <row r="11" spans="1:11" x14ac:dyDescent="0.25">
      <c r="B11" s="160"/>
      <c r="E11" s="45"/>
      <c r="G11" s="179" t="str">
        <f>IF(B5=453.6,"Criteria Air Pollutants Mitigated By Transit - Pounds",IF(B5=907200,"Criteria Air Pollutants Mitigated By Transit - Tons","Criteria Air Pollutants Mitigated By Transit"))</f>
        <v>Criteria Air Pollutants Mitigated By Transit</v>
      </c>
      <c r="H11" s="180"/>
      <c r="I11" s="180"/>
      <c r="J11" s="180"/>
      <c r="K11" s="181"/>
    </row>
    <row r="12" spans="1:11" ht="45" x14ac:dyDescent="0.25">
      <c r="G12" s="43" t="s">
        <v>75</v>
      </c>
      <c r="H12" s="42" t="s">
        <v>76</v>
      </c>
      <c r="I12" s="42" t="s">
        <v>77</v>
      </c>
      <c r="J12" s="42" t="s">
        <v>38</v>
      </c>
      <c r="K12" s="44" t="s">
        <v>78</v>
      </c>
    </row>
    <row r="13" spans="1:11" ht="15.75" thickBot="1" x14ac:dyDescent="0.3">
      <c r="E13" s="45"/>
      <c r="G13" s="80">
        <f>IF(B6=0,0,SUM(NTD!$E9:'NTD'!$E11)*$B2*SUM(NTD!B36:'NTD'!F36)/$B6)</f>
        <v>0</v>
      </c>
      <c r="H13" s="81">
        <f>IF(B6=0,0,$B3*SUM(NTD!$C9:'NTD'!$C11)/SUM(NTD!$C3:$C19)*$B2/0.8/NTD!$H36*SUM(NTD!$B36:'NTD'!$F36)/$B6)</f>
        <v>0</v>
      </c>
      <c r="I13" s="81">
        <f>IF(B5=0,0,IF(B6=0,0,SUM(NTD!$E9:'NTD'!$E11)/$B5*SUM(NTD!$B36:'NTD'!$F36)*$B4/$B6))</f>
        <v>0</v>
      </c>
      <c r="J13" s="81">
        <f>-SUM(E2:I2)</f>
        <v>0</v>
      </c>
      <c r="K13" s="82">
        <f>G13+H13+I13+J13</f>
        <v>0</v>
      </c>
    </row>
    <row r="36" spans="7:11" ht="15.75" thickBot="1" x14ac:dyDescent="0.3"/>
    <row r="37" spans="7:11" x14ac:dyDescent="0.25">
      <c r="G37" s="179" t="str">
        <f>IF(B5=453.6,"Greenhouse Gas Savings From Transit - Pounds",IF(B5=907200,"Greenhouse Gas Savings From Transit - Tons","GreenhouseGasSavingsFromTransit"))</f>
        <v>GreenhouseGasSavingsFromTransit</v>
      </c>
      <c r="H37" s="180"/>
      <c r="I37" s="180"/>
      <c r="J37" s="180"/>
      <c r="K37" s="181"/>
    </row>
    <row r="38" spans="7:11" ht="45" x14ac:dyDescent="0.25">
      <c r="G38" s="43" t="s">
        <v>75</v>
      </c>
      <c r="H38" s="42" t="s">
        <v>76</v>
      </c>
      <c r="I38" s="42" t="s">
        <v>77</v>
      </c>
      <c r="J38" s="42" t="s">
        <v>38</v>
      </c>
      <c r="K38" s="44" t="s">
        <v>78</v>
      </c>
    </row>
    <row r="39" spans="7:11" ht="15.75" thickBot="1" x14ac:dyDescent="0.3">
      <c r="G39" s="103">
        <f>IF(B6=0,0,SUM(NTD!$E9:'NTD'!$E11)*$B2*NTD!$G36/$B6)</f>
        <v>0</v>
      </c>
      <c r="H39" s="104">
        <f>IF(B6=0,0,$B3*SUM(NTD!C9:'NTD'!$C11)/SUM(NTD!$C3:'NTD'!$C19)*$B2/0.8/NTD!$H36*NTD!$G36/$B6)</f>
        <v>0</v>
      </c>
      <c r="I39" s="104">
        <f>IF(B5=0,0,IF(B6=0,0,SUM(NTD!$E9:'NTD'!$E11)/$B5*NTD!$G36*$B4/$B6))</f>
        <v>0</v>
      </c>
      <c r="J39" s="104">
        <f>-J2</f>
        <v>0</v>
      </c>
      <c r="K39" s="105">
        <f>G39+H39+I39+J39</f>
        <v>0</v>
      </c>
    </row>
    <row r="61" spans="7:11" ht="15.75" thickBot="1" x14ac:dyDescent="0.3"/>
    <row r="62" spans="7:11" x14ac:dyDescent="0.25">
      <c r="G62" s="174" t="s">
        <v>79</v>
      </c>
      <c r="H62" s="169"/>
      <c r="I62" s="169"/>
      <c r="J62" s="169"/>
      <c r="K62" s="168"/>
    </row>
    <row r="63" spans="7:11" ht="45" x14ac:dyDescent="0.25">
      <c r="G63" s="43" t="s">
        <v>75</v>
      </c>
      <c r="H63" s="42" t="s">
        <v>76</v>
      </c>
      <c r="I63" s="42" t="s">
        <v>77</v>
      </c>
      <c r="J63" s="42" t="s">
        <v>83</v>
      </c>
      <c r="K63" s="44" t="s">
        <v>78</v>
      </c>
    </row>
    <row r="64" spans="7:11" ht="15.75" thickBot="1" x14ac:dyDescent="0.3">
      <c r="G64" s="77">
        <f>SUM(NTD!$E9:'NTD'!$E11)*$B2*NTD!$H36</f>
        <v>0</v>
      </c>
      <c r="H64" s="78">
        <f>IF(SUM(NTD!$C3:'NTD'!$C19)=0,0,$B3*SUM(NTD!C$9:'NTD'!$C11)/SUM(NTD!$C3:$C19))</f>
        <v>0</v>
      </c>
      <c r="I64" s="78">
        <f>IF(B5=0,0,SUM(NTD!$E9:'NTD'!$E11)/$B5*NTD!$H36*$B4)</f>
        <v>0</v>
      </c>
      <c r="J64" s="78">
        <f>-K2</f>
        <v>0</v>
      </c>
      <c r="K64" s="79">
        <f>G64+H64+I64+J64</f>
        <v>0</v>
      </c>
    </row>
  </sheetData>
  <mergeCells count="5">
    <mergeCell ref="A1:B1"/>
    <mergeCell ref="B6:B7"/>
    <mergeCell ref="G11:K11"/>
    <mergeCell ref="G37:K37"/>
    <mergeCell ref="G62:K62"/>
  </mergeCells>
  <pageMargins left="0.7" right="0.7" top="0.75" bottom="0.75" header="0.3" footer="0.3"/>
  <ignoredErrors>
    <ignoredError sqref="E3:K3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75" zoomScaleNormal="75" workbookViewId="0">
      <selection sqref="A1:B1"/>
    </sheetView>
  </sheetViews>
  <sheetFormatPr defaultColWidth="9" defaultRowHeight="15" x14ac:dyDescent="0.25"/>
  <cols>
    <col min="1" max="1" width="24.5703125" style="34" customWidth="1"/>
    <col min="2" max="3" width="15.5703125" style="34" customWidth="1"/>
    <col min="4" max="11" width="17.5703125" style="34" customWidth="1"/>
    <col min="12" max="16384" width="9" style="34"/>
  </cols>
  <sheetData>
    <row r="1" spans="1:11" x14ac:dyDescent="0.25">
      <c r="A1" s="173">
        <f>NTD!C1</f>
        <v>0</v>
      </c>
      <c r="B1" s="168"/>
      <c r="C1" s="110"/>
      <c r="D1" s="7">
        <f>NTD!B1</f>
        <v>0</v>
      </c>
      <c r="E1" s="39" t="str">
        <f>IF($B6=453.6,"Nitrogen Oxides - Pounds",IF($B6=907200,"Nitrogen Oxides - Tons","Nitrogen Oxides"))</f>
        <v>Nitrogen Oxides</v>
      </c>
      <c r="F1" s="39" t="str">
        <f>IF($B6=453.6,"Hydrocarbons - Pounds",IF($B6=907200,"Hydrocarbons - Tons","Hydrocarbons"))</f>
        <v>Hydrocarbons</v>
      </c>
      <c r="G1" s="39" t="str">
        <f>IF($B6=453.6,"Carbon Monoxide - Pounds",IF($B6=907200,"Carbon Monoxide - Tons","Carbon Monoxide"))</f>
        <v>Carbon Monoxide</v>
      </c>
      <c r="H1" s="39" t="str">
        <f>IF($B6=453.6,"Particulate Matter - Pounds",IF($B6=907200,"Particulate Matter - Tons","Particulate Matter"))</f>
        <v>Particulate Matter</v>
      </c>
      <c r="I1" s="39" t="str">
        <f>IF($B6=453.6,"Sulfur Oxides - Pounds",IF($B6=907200,"Sulfur Oxides - Tons","Sulfur Oxides"))</f>
        <v>Sulfur Oxides</v>
      </c>
      <c r="J1" s="39" t="str">
        <f>IF($B6=453.6,"Greenhouse Gas - Pounds",IF($B6=907200,"Greenhouse Gas - Tons","Greenhouse Gas"))</f>
        <v>Greenhouse Gas</v>
      </c>
      <c r="K1" s="40" t="s">
        <v>35</v>
      </c>
    </row>
    <row r="2" spans="1:11" x14ac:dyDescent="0.25">
      <c r="A2" s="157" t="s">
        <v>51</v>
      </c>
      <c r="B2" s="94"/>
      <c r="C2" s="2" t="s">
        <v>90</v>
      </c>
      <c r="D2" s="101" t="s">
        <v>145</v>
      </c>
      <c r="E2" s="51">
        <f>IF($B6=0,0,(NTD!$D17*NTD!B33+NTD!$D18*NTD!B34+NTD!$D19*NTD!B35)/$B6)</f>
        <v>0</v>
      </c>
      <c r="F2" s="51">
        <f>IF($B6=0,0,(NTD!$D17*NTD!C33+NTD!$D18*NTD!C34+NTD!$D19*NTD!C35)/$B6)</f>
        <v>0</v>
      </c>
      <c r="G2" s="51">
        <f>IF($B6=0,0,(NTD!$D17*NTD!D33+NTD!$D18*NTD!D34+NTD!$D19*NTD!D35)/$B6)</f>
        <v>0</v>
      </c>
      <c r="H2" s="51">
        <f>IF($B6=0,0,(NTD!$D17*NTD!E33+NTD!$D18*NTD!E34+NTD!$D19*NTD!E35)/$B6)</f>
        <v>0</v>
      </c>
      <c r="I2" s="51">
        <f>IF($B6=0,0,(NTD!$D17*NTD!F33+NTD!$D18*NTD!F34+NTD!$D19*NTD!F35)/$B6)</f>
        <v>0</v>
      </c>
      <c r="J2" s="51">
        <f>IF($B6=0,0,(NTD!$D17*NTD!G33+NTD!$D18*NTD!G34+NTD!$D19*NTD!G35)/$B6)</f>
        <v>0</v>
      </c>
      <c r="K2" s="41">
        <f>NTD!$B17+NTD!$B18/NTD!$H34+NTD!$B19</f>
        <v>0</v>
      </c>
    </row>
    <row r="3" spans="1:11" x14ac:dyDescent="0.25">
      <c r="A3" s="4" t="s">
        <v>8</v>
      </c>
      <c r="B3" s="93"/>
      <c r="C3" s="3" t="s">
        <v>91</v>
      </c>
      <c r="D3" s="101" t="s">
        <v>106</v>
      </c>
      <c r="E3" s="51">
        <f t="shared" ref="E3:K3" si="0">SUM(E8:E10)+(1-SUM($B8:$B10))*E2</f>
        <v>0</v>
      </c>
      <c r="F3" s="51">
        <f t="shared" si="0"/>
        <v>0</v>
      </c>
      <c r="G3" s="51">
        <f t="shared" si="0"/>
        <v>0</v>
      </c>
      <c r="H3" s="51">
        <f t="shared" si="0"/>
        <v>0</v>
      </c>
      <c r="I3" s="51">
        <f t="shared" si="0"/>
        <v>0</v>
      </c>
      <c r="J3" s="51">
        <f t="shared" si="0"/>
        <v>0</v>
      </c>
      <c r="K3" s="41">
        <f t="shared" si="0"/>
        <v>0</v>
      </c>
    </row>
    <row r="4" spans="1:11" x14ac:dyDescent="0.25">
      <c r="A4" s="4" t="s">
        <v>14</v>
      </c>
      <c r="B4" s="94"/>
      <c r="C4" s="2" t="s">
        <v>92</v>
      </c>
      <c r="D4" s="35" t="s">
        <v>34</v>
      </c>
      <c r="E4" s="55">
        <f>IF($B5=0,0,IF($B6=0,0,SUM(NTD!$E17:'NTD'!$E19)*$B2*NTD!B36/$B6+$B3*SUM(NTD!$C18:'NTD'!$C19)/SUM(NTD!$C3:$C19)*$B2/0.8/NTD!$H36*NTD!B36/$B6+SUM(NTD!$E17:'NTD'!$E19)/$B5*NTD!B36*$B4/$B6))</f>
        <v>0</v>
      </c>
      <c r="F4" s="55">
        <f>IF($B5=0,0,IF($B6=0,0,SUM(NTD!$E17:'NTD'!$E19)*$B2*NTD!C36/$B6+$B3*SUM(NTD!$C18:'NTD'!$C19)/SUM(NTD!$C3:$C19)*$B2/0.8/NTD!$H36*NTD!C36/$B6+SUM(NTD!$E17:'NTD'!$E19)/$B5*NTD!C36*$B4/$B6))</f>
        <v>0</v>
      </c>
      <c r="G4" s="55">
        <f>IF($B5=0,0,IF($B6=0,0,SUM(NTD!$E17:'NTD'!$E19)*$B2*NTD!D36/$B6+$B3*SUM(NTD!$C18:'NTD'!$C19)/SUM(NTD!$C3:$C19)*$B2/0.8/NTD!$H36*NTD!D36/$B6+SUM(NTD!$E17:'NTD'!$E19)/$B5*NTD!D36*$B4/$B6))</f>
        <v>0</v>
      </c>
      <c r="H4" s="55">
        <f>IF($B5=0,0,IF($B6=0,0,SUM(NTD!$E17:'NTD'!$E19)*$B2*NTD!E36/$B6+$B3*SUM(NTD!$C18:'NTD'!$C19)/SUM(NTD!$C3:$C19)*$B2/0.8/NTD!$H36*NTD!E36/$B6+SUM(NTD!$E17:'NTD'!$E19)/$B5*NTD!E36*$B4/$B6))</f>
        <v>0</v>
      </c>
      <c r="I4" s="55">
        <f>IF($B5=0,0,IF($B6=0,0,SUM(NTD!$E17:'NTD'!$E19)*$B2*NTD!F36/$B6+$B3*SUM(NTD!$C18:'NTD'!$C19)/SUM(NTD!$C3:$C19)*$B2/0.8/NTD!$H36*NTD!F36/$B6+SUM(NTD!$E17:'NTD'!$E19)/$B5*NTD!F36*$B4/$B6))</f>
        <v>0</v>
      </c>
      <c r="J4" s="55">
        <f>IF($B5=0,0,IF($B6=0,0,SUM(NTD!$E17:'NTD'!$E19)*$B2*NTD!G36/$B6+$B3*SUM(NTD!$C18:'NTD'!$C19)/SUM(NTD!$C3:$C19)*$B2/0.8/NTD!$H36*NTD!G36/$B6+SUM(NTD!$E17:'NTD'!$E19)/$B5*NTD!G36*$B4/$B6))</f>
        <v>0</v>
      </c>
      <c r="K4" s="56">
        <f>IF($B5=0,0,SUM(NTD!$E17:'NTD'!$E19)*$B2*NTD!H36+$B3*SUM(NTD!$C17:'NTD'!$C19)/SUM(NTD!$C3:$C19)+SUM(NTD!$E17:'NTD'!$E19)/$B5*NTD!H36*$B4)</f>
        <v>0</v>
      </c>
    </row>
    <row r="5" spans="1:11" ht="30" x14ac:dyDescent="0.25">
      <c r="A5" s="4" t="s">
        <v>16</v>
      </c>
      <c r="B5" s="94"/>
      <c r="C5" s="2" t="s">
        <v>93</v>
      </c>
      <c r="D5" s="35" t="s">
        <v>141</v>
      </c>
      <c r="E5" s="55">
        <f>IF($B5=0,0,IF($B6=0,0,(SUM(NTD!$E17:'NTD'!$E19)+SUM(NTD!$E17:'NTD'!$E19)*$B11)*$B2*NTD!B36/$B6+$B3*SUM(NTD!$C17:'NTD'!$C19)/SUM(NTD!$C3:$C19)*$B2/0.8/NTD!$H36*NTD!B36/$B6+(SUM(NTD!$E17:'NTD'!$E19)+SUM(NTD!$E17:'NTD'!$E19)*$B11)/$B5*NTD!B36*$B4/$B6))</f>
        <v>0</v>
      </c>
      <c r="F5" s="55">
        <f>IF($B5=0,0,IF($B6=0,0,(SUM(NTD!$E17:'NTD'!$E19)+SUM(NTD!$E17:'NTD'!$E19)*$B11)*$B2*NTD!C36/$B6+$B3*SUM(NTD!$C17:'NTD'!$C19)/SUM(NTD!$C3:$C19)*$B2/0.8/NTD!$H36*NTD!C36/$B6+(SUM(NTD!$E17:'NTD'!$E19)+SUM(NTD!$E17:'NTD'!$E19)*$B11)/$B5*NTD!C36*$B4/$B6))</f>
        <v>0</v>
      </c>
      <c r="G5" s="55">
        <f>IF($B5=0,0,IF($B6=0,0,(SUM(NTD!$E17:'NTD'!$E19)+SUM(NTD!$E17:'NTD'!$E19)*$B11)*$B2*NTD!D36/$B6+$B3*SUM(NTD!$C17:'NTD'!$C19)/SUM(NTD!$C3:$C19)*$B2/0.8/NTD!$H36*NTD!D36/$B6+(SUM(NTD!$E17:'NTD'!$E19)+SUM(NTD!$E17:'NTD'!$E19)*$B11)/$B5*NTD!D36*$B4/$B6))</f>
        <v>0</v>
      </c>
      <c r="H5" s="55">
        <f>IF($B5=0,0,IF($B6=0,0,(SUM(NTD!$E17:'NTD'!$E19)+SUM(NTD!$E17:'NTD'!$E19)*$B11)*$B2*NTD!E36/$B6+$B3*SUM(NTD!$C17:'NTD'!$C19)/SUM(NTD!$C3:$C19)*$B2/0.8/NTD!$H36*NTD!E36/$B6+(SUM(NTD!$E17:'NTD'!$E19)+SUM(NTD!$E17:'NTD'!$E19)*$B11)/$B5*NTD!E36*$B4/$B6))</f>
        <v>0</v>
      </c>
      <c r="I5" s="55">
        <f>IF($B5=0,0,IF($B6=0,0,(SUM(NTD!$E17:'NTD'!$E19)+SUM(NTD!$E17:'NTD'!$E19)*$B11)*$B2*NTD!F36/$B6+$B3*SUM(NTD!$C17:'NTD'!$C19)/SUM(NTD!$C3:$C19)*$B2/0.8/NTD!$H36*NTD!F36/$B6+(SUM(NTD!$E17:'NTD'!$E19)+SUM(NTD!$E17:'NTD'!$E19)*$B11)/$B5*NTD!F36*$B4/$B6))</f>
        <v>0</v>
      </c>
      <c r="J5" s="55">
        <f>IF($B5=0,0,IF($B6=0,0,(SUM(NTD!$E17:'NTD'!$E19)+SUM(NTD!$E17:'NTD'!$E19)*$B11)*$B2*NTD!G36/$B6+$B3*SUM(NTD!$C17:'NTD'!$C19)/SUM(NTD!$C3:$C19)*$B2/0.8/NTD!$H36*NTD!G36/$B6+(SUM(NTD!$E17:'NTD'!$E19)+SUM(NTD!$E17:'NTD'!$E19)*$B11)/$B5*NTD!G36*$B4/$B6))</f>
        <v>0</v>
      </c>
      <c r="K5" s="56">
        <f>IF($B5=0,0,(SUM(NTD!$E17:'NTD'!$E19)+SUM(NTD!$E17:'NTD'!$E19)*$B11)*$B2*NTD!H36+$B3*SUM(NTD!$C17:'NTD'!$C19)/SUM(NTD!$C3:'NTD'!$C19)+(SUM(NTD!$E17:'NTD'!$E19)+SUM(NTD!$E17:'NTD'!$E19)*$B11)/$B5*NTD!H36*$B4)</f>
        <v>0</v>
      </c>
    </row>
    <row r="6" spans="1:11" ht="15.75" thickBot="1" x14ac:dyDescent="0.3">
      <c r="A6" s="4" t="s">
        <v>88</v>
      </c>
      <c r="B6" s="175"/>
      <c r="C6" s="2"/>
      <c r="D6" s="36" t="s">
        <v>33</v>
      </c>
      <c r="E6" s="61">
        <f>IF($B5=0,0,IF($B6=0,0,SUM(NTD!$G17:'NTD'!$G19)*$B2*NTD!B36/$B6+$B3*SUM(NTD!$C17:'NTD'!$C19)/SUM(NTD!$C3:$C19)*$B2/0.8/NTD!$H36*NTD!B36/$B6+SUM(NTD!$G17:'NTD'!$G19)/$B5*NTD!B36*$B4/$B6))</f>
        <v>0</v>
      </c>
      <c r="F6" s="61">
        <f>IF($B5=0,0,IF($B6=0,0,SUM(NTD!$G17:'NTD'!$G19)*$B2*NTD!C36/$B6+$B3*SUM(NTD!$C17:'NTD'!$C19)/SUM(NTD!$C3:$C19)*$B2/0.8/NTD!$H36*NTD!C36/$B6+SUM(NTD!$G17:'NTD'!$G19)/$B5*NTD!C36*$B4/$B6))</f>
        <v>0</v>
      </c>
      <c r="G6" s="61">
        <f>IF($B5=0,0,IF($B6=0,0,SUM(NTD!$G17:'NTD'!$G19)*$B2*NTD!D36/$B6+$B3*SUM(NTD!$C17:'NTD'!$C19)/SUM(NTD!$C3:$C19)*$B2/0.8/NTD!$H36*NTD!D36/$B6+SUM(NTD!$G17:'NTD'!$G19)/$B5*NTD!D36*$B4/$B6))</f>
        <v>0</v>
      </c>
      <c r="H6" s="61">
        <f>IF($B5=0,0,IF($B6=0,0,SUM(NTD!$G17:'NTD'!$G19)*$B2*NTD!E36/$B6+$B3*SUM(NTD!$C17:'NTD'!$C19)/SUM(NTD!$C3:$C19)*$B2/0.8/NTD!$H36*NTD!E36/$B6+SUM(NTD!$G17:'NTD'!$G19)/$B5*NTD!E36*$B4/$B6))</f>
        <v>0</v>
      </c>
      <c r="I6" s="61">
        <f>IF($B5=0,0,IF($B6=0,0,SUM(NTD!$G17:'NTD'!$G19)*$B2*NTD!F36/$B6+$B3*SUM(NTD!$C17:'NTD'!$C19)/SUM(NTD!$C3:$C19)*$B2/0.8/NTD!$H36*NTD!F36/$B6+SUM(NTD!$G17:'NTD'!$G19)/$B5*NTD!F36*$B4/$B6))</f>
        <v>0</v>
      </c>
      <c r="J6" s="61">
        <f>IF($B5=0,0,IF($B6=0,0,SUM(NTD!$G17:'NTD'!$G19)*$B2*NTD!G36/$B6+$B3*SUM(NTD!$C17:'NTD'!$C19)/SUM(NTD!$C3:$C19)*$B2/0.8/NTD!$H36*NTD!G36/$B6+SUM(NTD!$G17:'NTD'!$G19)/$B5*NTD!G36*$B4/$B6))</f>
        <v>0</v>
      </c>
      <c r="K6" s="62">
        <f>IF($B5=0,0,SUM(NTD!$G17:'NTD'!$G19)*$B2*NTD!H36+$B3*SUM(NTD!$C17:'NTD'!$C19)/SUM(NTD!$C3:$C19)+SUM(NTD!$G17:'NTD'!$G19)/$B5*NTD!H36*$B4)</f>
        <v>0</v>
      </c>
    </row>
    <row r="7" spans="1:11" ht="15.75" thickBot="1" x14ac:dyDescent="0.3">
      <c r="A7" s="4" t="s">
        <v>89</v>
      </c>
      <c r="B7" s="176"/>
      <c r="C7" s="6" t="s">
        <v>123</v>
      </c>
    </row>
    <row r="8" spans="1:11" x14ac:dyDescent="0.25">
      <c r="A8" s="4" t="s">
        <v>120</v>
      </c>
      <c r="B8" s="154"/>
      <c r="C8" s="158"/>
      <c r="D8" s="164" t="s">
        <v>94</v>
      </c>
      <c r="E8" s="125">
        <f>IF($B6=0,0,SUM(NTD!$D17:'NTD'!$D19)*$B8*NTD!B33/$B6)</f>
        <v>0</v>
      </c>
      <c r="F8" s="125">
        <f>IF($B6=0,0,SUM(NTD!$D17:'NTD'!$D19)*$B8*NTD!C33/$B6)</f>
        <v>0</v>
      </c>
      <c r="G8" s="125">
        <f>IF($B6=0,0,SUM(NTD!$D17:'NTD'!$D19)*$B8*NTD!D33/$B6)</f>
        <v>0</v>
      </c>
      <c r="H8" s="125">
        <f>IF($B6=0,0,SUM(NTD!$D17:'NTD'!$D19)*$B8*NTD!E33/$B6)</f>
        <v>0</v>
      </c>
      <c r="I8" s="125">
        <f>IF($B6=0,0,IF(NTD!$D17=0,SUM(NTD!$D17:'NTD'!$D19)*$B8*NTD!$H31/$C8*0.3/100/7000*453.6*2/$B6,SUM(NTD!$D17:'NTD'!$D19)*$B8*NTD!F33/$B6))</f>
        <v>0</v>
      </c>
      <c r="J8" s="125">
        <f>IF($B6=0,0,IF(NTD!$D17=0,SUM(NTD!$D17:'NTD'!$D19)*$B8*NTD!$H31/$C8*0.0546*1000/$B6,SUM(NTD!$D17:'NTD'!$D19)*$B8*NTD!G33/$B6))</f>
        <v>0</v>
      </c>
      <c r="K8" s="126">
        <f>IF(B8=0,0,IF(NTD!$B17=0,SUM(NTD!$D17:'NTD'!$D19)*$B8/$C8,SUM(NTD!$D17:'NTD'!$D19)*$B8/NTD!$D17*NTD!$B17))</f>
        <v>0</v>
      </c>
    </row>
    <row r="9" spans="1:11" x14ac:dyDescent="0.25">
      <c r="A9" s="4" t="s">
        <v>121</v>
      </c>
      <c r="B9" s="154"/>
      <c r="C9" s="158"/>
      <c r="D9" s="101" t="s">
        <v>95</v>
      </c>
      <c r="E9" s="51">
        <f>IF($B6=0,0,SUM(NTD!$D17:'NTD'!$D19)*$B9*NTD!B34/$B6)</f>
        <v>0</v>
      </c>
      <c r="F9" s="51">
        <f>IF($B6=0,0,SUM(NTD!$D17:'NTD'!$D19)*$B9*NTD!C34/$B6)</f>
        <v>0</v>
      </c>
      <c r="G9" s="51">
        <f>IF($B6=0,0,SUM(NTD!$D17:'NTD'!$D19)*$B9*NTD!D34/$B6)</f>
        <v>0</v>
      </c>
      <c r="H9" s="51">
        <f>IF($B6=0,0,SUM(NTD!$D17:'NTD'!$D19)*$B9*NTD!E34/$B6)</f>
        <v>0</v>
      </c>
      <c r="I9" s="51">
        <f>IF($B9=0,0,IF(NTD!$D18=0,SUM(NTD!$D17:'NTD'!$D19)*$B9*7.3/$C9*453.6*15/1000000*2/$B6,SUM(NTD!$D17:'NTD'!$D19)*$B9*NTD!F34/$B6))</f>
        <v>0</v>
      </c>
      <c r="J9" s="51">
        <f>IF($B9=0,0,IF(NTD!$D18=0,SUM(NTD!$D17:'NTD'!$D19)*$B9/$C9*10.21*1000/$B6,SUM(NTD!$D17:'NTD'!$D19)*$B9*NTD!G34/$B6))</f>
        <v>0</v>
      </c>
      <c r="K9" s="41">
        <f>IF(B9=0,0,IF(NTD!$B18=0,SUM(NTD!$D17:'NTD'!$D19)*$B9/$C9/NTD!H34,SUM(NTD!$D17:'NTD'!$D19)*$B9/NTD!$D18*NTD!$B18/NTD!H34))</f>
        <v>0</v>
      </c>
    </row>
    <row r="10" spans="1:11" ht="15.75" thickBot="1" x14ac:dyDescent="0.3">
      <c r="A10" s="4" t="s">
        <v>146</v>
      </c>
      <c r="B10" s="154"/>
      <c r="C10" s="159"/>
      <c r="D10" s="161" t="s">
        <v>96</v>
      </c>
      <c r="E10" s="162">
        <f>IF($B6=0,0,SUM(NTD!$D17:'NTD'!$D19)*$B10*NTD!B35/$B6)</f>
        <v>0</v>
      </c>
      <c r="F10" s="162">
        <f>IF($B6=0,0,SUM(NTD!$D17:'NTD'!$D19)*$B10*NTD!C35/$B6)</f>
        <v>0</v>
      </c>
      <c r="G10" s="162">
        <f>IF($B6=0,0,SUM(NTD!$D17:'NTD'!$D19)*$B10*NTD!D35/$B6)</f>
        <v>0</v>
      </c>
      <c r="H10" s="162">
        <f>IF($B6=0,0,SUM(NTD!$D17:'NTD'!$D19)*$B10*NTD!E35/$B6)</f>
        <v>0</v>
      </c>
      <c r="I10" s="162">
        <f>IF($B10=0,0,IF(NTD!$D19=0,SUM(NTD!$D17:'NTD'!$D19)*$B10*6.2/$C10*453.6*30/1000000*2/$B6,SUM(NTD!$D17:'NTD'!$D19)*$B10*NTD!F35/$B6))</f>
        <v>0</v>
      </c>
      <c r="J10" s="162">
        <f>IF($B10=0,0,IF(NTD!$D19=0,SUM(NTD!$D17:'NTD'!$D19)*$B10/$C10*8.78*1000/$B6,SUM(NTD!$D17:'NTD'!$D19)*$B10*NTD!G35/$B6))</f>
        <v>0</v>
      </c>
      <c r="K10" s="163">
        <f>IF(B10=0,0,IF(NTD!$B19=0,SUM(NTD!$D17:'NTD'!$D19)*$B10/$C10,SUM(NTD!$D17:'NTD'!$D19)*$B10/NTD!$D19*NTD!$B19))</f>
        <v>0</v>
      </c>
    </row>
    <row r="11" spans="1:11" ht="15.75" thickBot="1" x14ac:dyDescent="0.3">
      <c r="A11" s="76" t="s">
        <v>73</v>
      </c>
      <c r="B11" s="95"/>
      <c r="C11" s="97"/>
    </row>
    <row r="12" spans="1:11" x14ac:dyDescent="0.25">
      <c r="B12" s="160"/>
      <c r="E12" s="45"/>
      <c r="G12" s="179" t="str">
        <f>IF(B6=453.6,"Criteria Air Pollutants Mitigated By Transit - Pounds",IF(B6=907200,"Criteria Air Pollutants Mitigated By Transit - Tons","Criteria Air Pollutants Mitigated By Transit"))</f>
        <v>Criteria Air Pollutants Mitigated By Transit</v>
      </c>
      <c r="H12" s="180"/>
      <c r="I12" s="180"/>
      <c r="J12" s="180"/>
      <c r="K12" s="181"/>
    </row>
    <row r="13" spans="1:11" ht="45" x14ac:dyDescent="0.25">
      <c r="G13" s="43" t="s">
        <v>75</v>
      </c>
      <c r="H13" s="42" t="s">
        <v>76</v>
      </c>
      <c r="I13" s="42" t="s">
        <v>77</v>
      </c>
      <c r="J13" s="42" t="s">
        <v>38</v>
      </c>
      <c r="K13" s="44" t="s">
        <v>78</v>
      </c>
    </row>
    <row r="14" spans="1:11" ht="15.75" thickBot="1" x14ac:dyDescent="0.3">
      <c r="E14" s="45"/>
      <c r="G14" s="80">
        <f>IF(B6=0,0,SUM(NTD!$E9:'NTD'!$E11)*$B2*SUM(NTD!B36:'NTD'!F36)/$B6)</f>
        <v>0</v>
      </c>
      <c r="H14" s="81">
        <f>IF(B6=0,0,$B3*SUM(NTD!$C9:'NTD'!$C11)/SUM(NTD!$C3:$C19)*$B2/0.8/NTD!$H36*SUM(NTD!$B36:'NTD'!$F36)/$B6)</f>
        <v>0</v>
      </c>
      <c r="I14" s="81">
        <f>IF(B5=0,0,IF(B6=0,0,SUM(NTD!$E9:'NTD'!$E11)/$B5*SUM(NTD!$B36:'NTD'!$F36)*$B4/$B6))</f>
        <v>0</v>
      </c>
      <c r="J14" s="81">
        <f>-SUM(E2:I2)</f>
        <v>0</v>
      </c>
      <c r="K14" s="82">
        <f>G14+H14+I14+J14</f>
        <v>0</v>
      </c>
    </row>
    <row r="37" spans="7:11" ht="15.75" thickBot="1" x14ac:dyDescent="0.3"/>
    <row r="38" spans="7:11" x14ac:dyDescent="0.25">
      <c r="G38" s="179" t="str">
        <f>IF(B6=453.6,"Greenhouse Gas Savings From Transit - Pounds",IF(B6=907200,"Greenhouse Gas Savings From Transit - Tons","GreenhouseGasSavingsFromTransit"))</f>
        <v>GreenhouseGasSavingsFromTransit</v>
      </c>
      <c r="H38" s="180"/>
      <c r="I38" s="180"/>
      <c r="J38" s="180"/>
      <c r="K38" s="181"/>
    </row>
    <row r="39" spans="7:11" ht="45" x14ac:dyDescent="0.25">
      <c r="G39" s="43" t="s">
        <v>75</v>
      </c>
      <c r="H39" s="42" t="s">
        <v>76</v>
      </c>
      <c r="I39" s="42" t="s">
        <v>77</v>
      </c>
      <c r="J39" s="42" t="s">
        <v>38</v>
      </c>
      <c r="K39" s="44" t="s">
        <v>78</v>
      </c>
    </row>
    <row r="40" spans="7:11" ht="15.75" thickBot="1" x14ac:dyDescent="0.3">
      <c r="G40" s="103">
        <f>IF(B6=0,0,SUM(NTD!$E9:'NTD'!$E11)*$B2*NTD!$G36/$B6)</f>
        <v>0</v>
      </c>
      <c r="H40" s="104">
        <f>IF(B6=0,0,$B3*SUM(NTD!C9:'NTD'!$C11)/SUM(NTD!$C3:'NTD'!$C19)*$B2/0.8/NTD!$H36*NTD!$G36/$B6)</f>
        <v>0</v>
      </c>
      <c r="I40" s="104">
        <f>IF(B5=0,0,IF(B6=0,0,SUM(NTD!$E9:'NTD'!$E11)/$B5*NTD!$G36*$B4/$B6))</f>
        <v>0</v>
      </c>
      <c r="J40" s="104">
        <f>-J2</f>
        <v>0</v>
      </c>
      <c r="K40" s="105">
        <f>G40+H40+I40+J40</f>
        <v>0</v>
      </c>
    </row>
    <row r="62" spans="7:11" ht="15.75" thickBot="1" x14ac:dyDescent="0.3"/>
    <row r="63" spans="7:11" x14ac:dyDescent="0.25">
      <c r="G63" s="174" t="s">
        <v>79</v>
      </c>
      <c r="H63" s="169"/>
      <c r="I63" s="169"/>
      <c r="J63" s="169"/>
      <c r="K63" s="168"/>
    </row>
    <row r="64" spans="7:11" ht="45" x14ac:dyDescent="0.25">
      <c r="G64" s="43" t="s">
        <v>75</v>
      </c>
      <c r="H64" s="42" t="s">
        <v>76</v>
      </c>
      <c r="I64" s="42" t="s">
        <v>77</v>
      </c>
      <c r="J64" s="42" t="s">
        <v>83</v>
      </c>
      <c r="K64" s="44" t="s">
        <v>78</v>
      </c>
    </row>
    <row r="65" spans="7:11" ht="15.75" thickBot="1" x14ac:dyDescent="0.3">
      <c r="G65" s="77">
        <f>SUM(NTD!$E9:'NTD'!$E11)*$B2*NTD!$H36</f>
        <v>0</v>
      </c>
      <c r="H65" s="78">
        <f>IF(SUM(NTD!$C3:'NTD'!$C19)=0,0,$B3*SUM(NTD!C$9:'NTD'!$C11)/SUM(NTD!$C3:$C19))</f>
        <v>0</v>
      </c>
      <c r="I65" s="78">
        <f>IF(B5=0,0,SUM(NTD!$E9:'NTD'!$E11)/$B5*NTD!$H36*$B4)</f>
        <v>0</v>
      </c>
      <c r="J65" s="78">
        <f>-K2</f>
        <v>0</v>
      </c>
      <c r="K65" s="79">
        <f>G65+H65+I65+J65</f>
        <v>0</v>
      </c>
    </row>
  </sheetData>
  <mergeCells count="5">
    <mergeCell ref="A1:B1"/>
    <mergeCell ref="B6:B7"/>
    <mergeCell ref="G12:K12"/>
    <mergeCell ref="G38:K38"/>
    <mergeCell ref="G63:K63"/>
  </mergeCells>
  <pageMargins left="0.7" right="0.7" top="0.75" bottom="0.75" header="0.3" footer="0.3"/>
  <ignoredErrors>
    <ignoredError sqref="E3:K3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="75" zoomScaleNormal="75" workbookViewId="0">
      <selection sqref="A1:B1"/>
    </sheetView>
  </sheetViews>
  <sheetFormatPr defaultRowHeight="15" x14ac:dyDescent="0.25"/>
  <cols>
    <col min="1" max="1" width="24.5703125" customWidth="1"/>
    <col min="2" max="2" width="17.28515625" bestFit="1" customWidth="1"/>
    <col min="3" max="3" width="15.140625" style="34" customWidth="1"/>
    <col min="4" max="4" width="16.5703125" customWidth="1"/>
    <col min="5" max="11" width="15.5703125" customWidth="1"/>
    <col min="12" max="12" width="10.5703125" style="34" customWidth="1"/>
    <col min="13" max="13" width="20.5703125" customWidth="1"/>
    <col min="14" max="14" width="27.5703125" customWidth="1"/>
    <col min="15" max="15" width="22.5703125" style="34" customWidth="1"/>
    <col min="16" max="16" width="28.5703125" customWidth="1"/>
    <col min="17" max="18" width="17.7109375" customWidth="1"/>
  </cols>
  <sheetData>
    <row r="1" spans="1:16" ht="15" customHeight="1" thickBot="1" x14ac:dyDescent="0.3">
      <c r="A1" s="182" t="s">
        <v>0</v>
      </c>
      <c r="B1" s="183"/>
      <c r="C1" s="124"/>
      <c r="D1" s="7">
        <f>NTD!C1</f>
        <v>0</v>
      </c>
      <c r="E1" s="39" t="str">
        <f>IF($B6=453.6,"Nitrogen Oxides - Pounds",IF($B6=907200,"Nitrogen Oxides - Tons","Nitrogen Oxides"))</f>
        <v>Nitrogen Oxides</v>
      </c>
      <c r="F1" s="39" t="str">
        <f>IF($B6=453.6,"Hydrocarbons - Pounds",IF($B6=907200,"Hydrocarbons - Tons","Hydrocarbons"))</f>
        <v>Hydrocarbons</v>
      </c>
      <c r="G1" s="39" t="str">
        <f>IF($B6=453.6,"Carbon Monoxide - Pounds",IF($B6=907200,"Carbon Monoxide - Tons","Carbon Monoxide"))</f>
        <v>Carbon Monoxide</v>
      </c>
      <c r="H1" s="39" t="str">
        <f>IF($B6=453.6,"Particulate Matter - Pounds",IF($B6=907200,"Particulate Matter - Tons","Particulate Matter"))</f>
        <v>Particulate Matter</v>
      </c>
      <c r="I1" s="39" t="str">
        <f>IF($B6=453.6,"Sulfur Oxides - Pounds",IF($B6=907200,"Sulfur Oxides - Tons","Sulfur Oxides"))</f>
        <v>Sulfur Oxides</v>
      </c>
      <c r="J1" s="39" t="str">
        <f>IF($B6=453.6,"Greenhouse Gas - Pounds",IF($B6=907200,"Greenhouse Gas - Tons","Greenhouse Gas"))</f>
        <v>Greenhouse Gas</v>
      </c>
      <c r="K1" s="40" t="s">
        <v>35</v>
      </c>
    </row>
    <row r="2" spans="1:16" ht="15" customHeight="1" x14ac:dyDescent="0.25">
      <c r="A2" s="91" t="s">
        <v>51</v>
      </c>
      <c r="B2" s="92"/>
      <c r="C2" s="2" t="s">
        <v>90</v>
      </c>
      <c r="D2" s="101">
        <f>NTD!B1</f>
        <v>0</v>
      </c>
      <c r="E2" s="51">
        <f>IF($B6=0,0,(NTD!$B3*NTD!B29+SUM(NTD!$B4:'NTD'!$B8)*NTD!B30+NTD!$D9*NTD!B31+NTD!$D10*NTD!B32+NTD!$B11*NTD!B30+NTD!$D12*NTD!B31+NTD!$D13*NTD!B32+NTD!B$14*NTD!B30+NTD!$D15*NTD!B31+NTD!$D16*NTD!B32+NTD!$D17*NTD!B33+NTD!D$18*NTD!B34+NTD!$D19*NTD!B35)/$B6)</f>
        <v>0</v>
      </c>
      <c r="F2" s="51">
        <f>IF($B6=0,0,(NTD!$B3*NTD!C29+SUM(NTD!$B4:'NTD'!$B8)*NTD!C30+NTD!$D9*NTD!C31+NTD!$D10*NTD!C32+NTD!$B11*NTD!C30+NTD!$D12*NTD!C31+NTD!$D13*NTD!C32+NTD!C$14*NTD!C30+NTD!$D15*NTD!C31+NTD!$D16*NTD!C32+NTD!$D17*NTD!C33+NTD!E$18*NTD!C34+NTD!$D19*NTD!C35)/$B6)</f>
        <v>0</v>
      </c>
      <c r="G2" s="51">
        <f>IF($B6=0,0,(NTD!$B3*NTD!D29+SUM(NTD!$B4:'NTD'!$B8)*NTD!D30+NTD!$D9*NTD!D31+NTD!$D10*NTD!D32+NTD!$B11*NTD!D30+NTD!$D12*NTD!D31+NTD!$D13*NTD!D32+NTD!D$14*NTD!D30+NTD!$D15*NTD!D31+NTD!$D16*NTD!D32+NTD!$D17*NTD!D33+NTD!F$18*NTD!D34+NTD!$D19*NTD!D35)/$B6)</f>
        <v>0</v>
      </c>
      <c r="H2" s="51">
        <f>IF($B6=0,0,(NTD!$B3*NTD!E29+SUM(NTD!$B4:'NTD'!$B8)*NTD!E30+NTD!$D9*NTD!E31+NTD!$D10*NTD!E32+NTD!$B11*NTD!E30+NTD!$D12*NTD!E31+NTD!$D13*NTD!E32+NTD!E$14*NTD!E30+NTD!$D15*NTD!E31+NTD!$D16*NTD!E32+NTD!$D17*NTD!E33+NTD!G$18*NTD!E34+NTD!$D19*NTD!E35)/$B6)</f>
        <v>0</v>
      </c>
      <c r="I2" s="51">
        <f>IF($B6=0,0,(NTD!$B3*NTD!F29+SUM(NTD!$B4:'NTD'!$B8)*NTD!F30+NTD!$D9*NTD!F31+NTD!$D10*NTD!F32+NTD!$B11*NTD!F30+NTD!$D12*NTD!F31+NTD!$D13*NTD!F32+NTD!F$14*NTD!F30+NTD!$D15*NTD!F31+NTD!$D16*NTD!F32+NTD!$D17*NTD!F33+NTD!H$18*NTD!F34+NTD!$D19*NTD!F35)/$B6)</f>
        <v>0</v>
      </c>
      <c r="J2" s="51">
        <f>IF($B6=0,0,(NTD!$B3*NTD!G29+SUM(NTD!$B4:'NTD'!$B8)*NTD!G30+NTD!$D9*NTD!G31+NTD!$D10*NTD!G32+NTD!$B11*NTD!G30+NTD!$D12*NTD!G31+NTD!$D13*NTD!G32+NTD!G$14*NTD!G30+NTD!$D15*NTD!G31+NTD!$D16*NTD!G32+NTD!$D17*NTD!G33+NTD!I$18*NTD!G34+NTD!$D19*NTD!G35)/$B6)</f>
        <v>0</v>
      </c>
      <c r="K2" s="41">
        <f>NTD!B3/NTD!H29+SUM(NTD!B4:'NTD'!B8)/NTD!H30+NTD!B9+NTD!B10/NTD!H32+NTD!B11/NTD!H30+NTD!B12+NTD!B13/NTD!H32+NTD!B14/NTD!H30+NTD!B15+NTD!B16/NTD!H32+NTD!B17+NTD!B18/NTD!H34+NTD!B19</f>
        <v>0</v>
      </c>
      <c r="L2" s="45"/>
      <c r="M2" s="184" t="str">
        <f>IF(B6=453.6,"Criteria Air Pollutants Mitigated By Transit - Pounds",IF(B6=907200,"Criteria Air Pollutants Mitigated By Transit - Tons","Criteria Air Pollutants Mitigated By Transit"))</f>
        <v>Criteria Air Pollutants Mitigated By Transit</v>
      </c>
      <c r="N2" s="171"/>
      <c r="O2" s="171"/>
      <c r="P2" s="172"/>
    </row>
    <row r="3" spans="1:16" ht="15" customHeight="1" x14ac:dyDescent="0.25">
      <c r="A3" s="4" t="s">
        <v>8</v>
      </c>
      <c r="B3" s="93"/>
      <c r="C3" s="3" t="s">
        <v>91</v>
      </c>
      <c r="D3" s="64" t="s">
        <v>106</v>
      </c>
      <c r="E3" s="132">
        <f>E9+E12+E15+E18+E21+E24+E28+E35+E42+E48</f>
        <v>0</v>
      </c>
      <c r="F3" s="132">
        <f t="shared" ref="F3:K3" si="0">F9+F12+F15+F18+F21+F24+F28+F35+F42+F48</f>
        <v>0</v>
      </c>
      <c r="G3" s="132">
        <f t="shared" si="0"/>
        <v>0</v>
      </c>
      <c r="H3" s="132">
        <f t="shared" si="0"/>
        <v>0</v>
      </c>
      <c r="I3" s="132">
        <f t="shared" si="0"/>
        <v>0</v>
      </c>
      <c r="J3" s="132">
        <f t="shared" si="0"/>
        <v>0</v>
      </c>
      <c r="K3" s="132">
        <f t="shared" si="0"/>
        <v>0</v>
      </c>
      <c r="M3" s="43" t="s">
        <v>105</v>
      </c>
      <c r="N3" s="42" t="s">
        <v>104</v>
      </c>
      <c r="O3" s="42" t="s">
        <v>39</v>
      </c>
      <c r="P3" s="44" t="s">
        <v>46</v>
      </c>
    </row>
    <row r="4" spans="1:16" ht="15" customHeight="1" thickBot="1" x14ac:dyDescent="0.3">
      <c r="A4" s="4" t="s">
        <v>14</v>
      </c>
      <c r="B4" s="94"/>
      <c r="C4" s="2" t="s">
        <v>92</v>
      </c>
      <c r="D4" s="35" t="s">
        <v>34</v>
      </c>
      <c r="E4" s="55">
        <f>IF($B5=0,0,IF($B6=0,0,SUM(NTD!$E3:$E19)*$B2*NTD!B36/$B6+$B3*$B2/0.8/NTD!$H36*NTD!B36/$B6+SUM(NTD!$E3:$E19)/$B5*NTD!B36*$B4/$B6))</f>
        <v>0</v>
      </c>
      <c r="F4" s="55">
        <f>IF($B5=0,0,IF($B6=0,0,SUM(NTD!$E3:$E19)*$B2*NTD!C36/$B6+$B3*$B2/0.8/NTD!$H36*NTD!C36/$B6+SUM(NTD!$E3:$E19)/$B5*NTD!C36*$B4/$B6))</f>
        <v>0</v>
      </c>
      <c r="G4" s="55">
        <f>IF($B5=0,0,IF($B6=0,0,SUM(NTD!$E3:$E19)*$B2*NTD!D36/$B6+$B3*$B2/0.8/NTD!$H36*NTD!D36/$B6+SUM(NTD!$E3:$E19)/$B5*NTD!D36*$B4/$B6))</f>
        <v>0</v>
      </c>
      <c r="H4" s="55">
        <f>IF($B5=0,0,IF($B6=0,0,SUM(NTD!$E3:$E19)*$B2*NTD!E36/$B6+$B3*$B2/0.8/NTD!$H36*NTD!E36/$B6+SUM(NTD!$E3:$E19)/$B5*NTD!E36*$B4/$B6))</f>
        <v>0</v>
      </c>
      <c r="I4" s="55">
        <f>IF($B5=0,0,IF($B6=0,0,SUM(NTD!$E3:$E19)*$B2*NTD!F36/$B6+$B3*$B2/0.8/NTD!$H36*NTD!F36/$B6+SUM(NTD!$E3:$E19)/$B5*NTD!F36*$B4/$B6))</f>
        <v>0</v>
      </c>
      <c r="J4" s="55">
        <f>IF($B5=0,0,IF($B6=0,0,SUM(NTD!$E3:$E19)*$B2*NTD!G36/$B6+$B3*$B2/0.8/NTD!$H36*NTD!G36/$B6+SUM(NTD!$E3:$E19)/$B5*NTD!G36*$B4/$B6))</f>
        <v>0</v>
      </c>
      <c r="K4" s="56">
        <f>IF($B5=0,0,SUM(NTD!E3:E19)*B2*NTD!H36+B3+SUM(NTD!E3:E19)/B5*NTD!H36*B4)</f>
        <v>0</v>
      </c>
      <c r="M4" s="46">
        <f>-SUM(E2:I2)</f>
        <v>0</v>
      </c>
      <c r="N4" s="46">
        <f>-SUM(E3:I3)</f>
        <v>0</v>
      </c>
      <c r="O4" s="47">
        <f>SUM(E4:I4)</f>
        <v>0</v>
      </c>
      <c r="P4" s="48">
        <f>SUM(E5:I5)</f>
        <v>0</v>
      </c>
    </row>
    <row r="5" spans="1:16" ht="15" customHeight="1" x14ac:dyDescent="0.25">
      <c r="A5" s="4" t="s">
        <v>16</v>
      </c>
      <c r="B5" s="94"/>
      <c r="C5" s="2" t="s">
        <v>93</v>
      </c>
      <c r="D5" s="35" t="s">
        <v>37</v>
      </c>
      <c r="E5" s="55">
        <f>E11+E14+E17+E20+E23+E26+E33+E40+E46+E53</f>
        <v>0</v>
      </c>
      <c r="F5" s="55">
        <f t="shared" ref="F5:K5" si="1">F11+F14+F17+F20+F23+F26+F33+F40+F46+F53</f>
        <v>0</v>
      </c>
      <c r="G5" s="55">
        <f t="shared" si="1"/>
        <v>0</v>
      </c>
      <c r="H5" s="55">
        <f t="shared" si="1"/>
        <v>0</v>
      </c>
      <c r="I5" s="55">
        <f t="shared" si="1"/>
        <v>0</v>
      </c>
      <c r="J5" s="55">
        <f t="shared" si="1"/>
        <v>0</v>
      </c>
      <c r="K5" s="55">
        <f t="shared" si="1"/>
        <v>0</v>
      </c>
    </row>
    <row r="6" spans="1:16" s="34" customFormat="1" ht="15" customHeight="1" thickBot="1" x14ac:dyDescent="0.3">
      <c r="A6" s="4" t="s">
        <v>88</v>
      </c>
      <c r="B6" s="177"/>
      <c r="C6" s="2"/>
      <c r="D6" s="36" t="s">
        <v>33</v>
      </c>
      <c r="E6" s="61">
        <f>IF($B5=0,0,IF($B6=0,0,SUM(NTD!$G3:'NTD'!$G19)*$B2*NTD!B36/$B6+$B3*$B2/0.8/NTD!$H36*NTD!B36/$B6+SUM(NTD!$G3:$G19)/$B5*NTD!B36*$B4/$B6))</f>
        <v>0</v>
      </c>
      <c r="F6" s="61">
        <f>IF($B5=0,0,IF($B6=0,0,SUM(NTD!$G3:'NTD'!$G19)*$B2*NTD!C36/$B6+$B3*$B2/0.8/NTD!$H36*NTD!C36/$B6+SUM(NTD!$G3:$G19)/$B5*NTD!C36*$B4/$B6))</f>
        <v>0</v>
      </c>
      <c r="G6" s="61">
        <f>IF($B5=0,0,IF($B6=0,0,SUM(NTD!$G3:'NTD'!$G19)*$B2*NTD!D36/$B6+$B3*$B2/0.8/NTD!$H36*NTD!D36/$B6+SUM(NTD!$G3:$G19)/$B5*NTD!D36*$B4/$B6))</f>
        <v>0</v>
      </c>
      <c r="H6" s="61">
        <f>IF($B5=0,0,IF($B6=0,0,SUM(NTD!$G3:'NTD'!$G19)*$B2*NTD!E36/$B6+$B3*$B2/0.8/NTD!$H36*NTD!E36/$B6+SUM(NTD!$G3:$G19)/$B5*NTD!E36*$B4/$B6))</f>
        <v>0</v>
      </c>
      <c r="I6" s="61">
        <f>IF($B5=0,0,IF($B6=0,0,SUM(NTD!$G3:'NTD'!$G19)*$B2*NTD!F36/$B6+$B3*$B2/0.8/NTD!$H36*NTD!F36/$B6+SUM(NTD!$G3:$G19)/$B5*NTD!F36*$B4/$B6))</f>
        <v>0</v>
      </c>
      <c r="J6" s="61">
        <f>IF($B5=0,0,IF($B6=0,0,SUM(NTD!$G3:'NTD'!$G19)*$B2*NTD!G36/$B6+$B3*$B2/0.8/NTD!$H36*NTD!G36/$B6+SUM(NTD!$G3:$G19)/$B5*NTD!G36*$B4/$B6))</f>
        <v>0</v>
      </c>
      <c r="K6" s="62">
        <f>IF($B5=0,0,SUM(NTD!G3:G19)*B2*NTD!H36+B3+SUM(NTD!G3:G19)/B5*NTD!H36*B4)</f>
        <v>0</v>
      </c>
    </row>
    <row r="7" spans="1:16" s="34" customFormat="1" ht="15" customHeight="1" thickBot="1" x14ac:dyDescent="0.3">
      <c r="A7" s="76" t="s">
        <v>89</v>
      </c>
      <c r="B7" s="178"/>
      <c r="C7" s="2"/>
      <c r="D7" s="119"/>
      <c r="E7" s="120"/>
      <c r="F7" s="120"/>
      <c r="G7" s="120"/>
      <c r="H7" s="120"/>
      <c r="I7" s="120"/>
      <c r="J7" s="120"/>
      <c r="K7" s="120"/>
    </row>
    <row r="8" spans="1:16" ht="15" customHeight="1" x14ac:dyDescent="0.25">
      <c r="A8" s="134" t="s">
        <v>97</v>
      </c>
      <c r="B8" s="121">
        <f>NTD!B1</f>
        <v>0</v>
      </c>
      <c r="C8" s="6"/>
      <c r="D8" s="145" t="s">
        <v>103</v>
      </c>
      <c r="E8" s="125">
        <f>IF($B6=0,0,NTD!$B3*NTD!B29/$B6)</f>
        <v>0</v>
      </c>
      <c r="F8" s="125">
        <f>IF($B6=0,0,NTD!$B3*NTD!C29/$B6)</f>
        <v>0</v>
      </c>
      <c r="G8" s="125">
        <f>IF($B6=0,0,NTD!$B3*NTD!D29/$B6)</f>
        <v>0</v>
      </c>
      <c r="H8" s="125">
        <f>IF($B6=0,0,NTD!$B3*NTD!E29/$B6)</f>
        <v>0</v>
      </c>
      <c r="I8" s="125">
        <f>IF($B6=0,0,NTD!$B3*NTD!F29/$B6)</f>
        <v>0</v>
      </c>
      <c r="J8" s="125">
        <f>IF($B6=0,0,NTD!$B3*NTD!G29/$B6)</f>
        <v>0</v>
      </c>
      <c r="K8" s="126">
        <f>NTD!$B3/NTD!H29</f>
        <v>0</v>
      </c>
    </row>
    <row r="9" spans="1:16" s="34" customFormat="1" ht="15" customHeight="1" x14ac:dyDescent="0.25">
      <c r="A9" s="148" t="s">
        <v>113</v>
      </c>
      <c r="B9" s="149"/>
      <c r="C9" s="150" t="s">
        <v>115</v>
      </c>
      <c r="D9" s="127"/>
      <c r="E9" s="51">
        <f>IF($B9=0,E$8,IF($B9=1,($D9*NTD!$B3*NTD!G43+(1-$D9)*NTD!$B3*NTD!$B29)/$B6,IF($B9=2,($D9*NTD!$B3*NTD!G45+(1-$D9)*NTD!$B3*NTD!$B29)/$B6,IF($B9=3,($D9*NTD!$B3*NTD!G47+(1-$D9)*NTD!$B3*NTD!$B29)/$B6,IF($B9=4,($D9*NTD!$B3*NTD!G48+(1-$D9)*NTD!$B3*NTD!$B29)/$B6)))))</f>
        <v>0</v>
      </c>
      <c r="F9" s="51">
        <f>IF($B9=0,F$8,IF($B9=1,($D9*NTD!$B3*NTD!E43+(1-$D9)*NTD!$B3*NTD!C$29)/$B6,IF($B9=2,($D9*NTD!$B3*NTD!E45+(1-$D9)*NTD!$B3*NTD!C$29)/$B6,IF($B9=3,($D9*NTD!$B3*NTD!E47+(1-$D9)*NTD!$B3*NTD!C$29)/$B6,IF($B9=4,($D9*NTD!$B3*NTD!E48+(1-$D9)*NTD!$B3*NTD!C$29)/$B6)))))</f>
        <v>0</v>
      </c>
      <c r="G9" s="51">
        <f>IF($B9=0,G$8,IF($B9=1,($D9*NTD!$B3*NTD!I43+(1-$D9)*NTD!$B3*NTD!D$29)/$B6,IF($B9=2,($D9*NTD!$B3*NTD!I45+(1-$D9)*NTD!$B3*NTD!D$29)/$B6,IF($B9=3,($D9*NTD!$B3*NTD!I47+(1-$D9)*NTD!$B3*NTD!D$29)/$B6,IF($B9=4,($D9*NTD!$B3*NTD!I48+(1-$D9)*NTD!$B3*NTD!D$29)/$B6)))))</f>
        <v>0</v>
      </c>
      <c r="H9" s="51">
        <f>IF($B9=0,H$8,IF($B9=1,($D9*NTD!$B3*NTD!C43+(1-$D9)*NTD!$B3*NTD!E$29)/$B6,IF($B9=2,($D9*NTD!$B3*NTD!C45+(1-$D9)*NTD!$B3*NTD!E$29)/$B6,IF($B9=3,($D9*NTD!$B3*NTD!C47+(1-$D9)*NTD!$B3*NTD!E$29)/$B6,IF($B9=4,($D9*NTD!$B3*NTD!C48+(1-$D9)*NTD!$B3*NTD!E$29)/$B6)))))</f>
        <v>0</v>
      </c>
      <c r="I9" s="51">
        <f>IF($B6=0,0,NTD!$B3*NTD!F29/$B6)</f>
        <v>0</v>
      </c>
      <c r="J9" s="51">
        <f>IF($B6=0,0,NTD!$B3*NTD!G29/$B6)</f>
        <v>0</v>
      </c>
      <c r="K9" s="41">
        <f>NTD!$B3/NTD!H29</f>
        <v>0</v>
      </c>
    </row>
    <row r="10" spans="1:16" s="34" customFormat="1" ht="15" customHeight="1" x14ac:dyDescent="0.25">
      <c r="A10" s="135"/>
      <c r="B10" s="38" t="s">
        <v>34</v>
      </c>
      <c r="C10" s="6"/>
      <c r="D10" s="144" t="s">
        <v>114</v>
      </c>
      <c r="E10" s="55">
        <f>IF($B5=0,0,IF($B6=0,0,NTD!$E3*$B2*NTD!B36/$B6+$B3*NTD!$C3/SUM(NTD!$C3:$C19)*$B2/0.8/NTD!$H36*NTD!B36/$B6+NTD!$E3/$B5*NTD!B36*$B4/$B6))</f>
        <v>0</v>
      </c>
      <c r="F10" s="55">
        <f>IF($B5=0,0,IF($B6=0,0,NTD!$E3*$B2*NTD!C36/$B6+$B3*NTD!$C3/SUM(NTD!$C3:$C19)*$B2/0.8/NTD!$H36*NTD!C36/$B6+NTD!$E3/$B5*NTD!C36*$B4/$B6))</f>
        <v>0</v>
      </c>
      <c r="G10" s="55">
        <f>IF($B5=0,0,IF($B6=0,0,NTD!$E3*$B2*NTD!D36/$B6+$B3*NTD!$C3/SUM(NTD!$C3:$C19)*$B2/0.8/NTD!$H36*NTD!D36/$B6+NTD!$E3/$B5*NTD!D36*$B4/$B6))</f>
        <v>0</v>
      </c>
      <c r="H10" s="55">
        <f>IF($B5=0,0,IF($B6=0,0,NTD!$E3*$B2*NTD!E36/$B6+$B3*NTD!$C3/SUM(NTD!$C3:$C19)*$B2/0.8/NTD!$H36*NTD!E36/$B6+NTD!$E3/$B5*NTD!E36*$B4/$B6))</f>
        <v>0</v>
      </c>
      <c r="I10" s="55">
        <f>IF($B5=0,0,IF($B6=0,0,NTD!$E3*$B2*NTD!F36/$B6+$B3*NTD!$C3/SUM(NTD!$C3:$C19)*$B2/0.8/NTD!$H36*NTD!F36/$B6+NTD!$E3/$B5*NTD!F36*$B4/$B6))</f>
        <v>0</v>
      </c>
      <c r="J10" s="55">
        <f>IF($B5=0,0,IF($B6=0,0,NTD!$E3*$B2*NTD!G36/$B6+$B3*NTD!$C3/SUM(NTD!$C3:$C19)*$B2/0.8/NTD!$H36*NTD!G36/$B6+NTD!$E3/$B5*NTD!G36*$B4/$B6))</f>
        <v>0</v>
      </c>
      <c r="K10" s="56">
        <f>IF($B5=0,0,NTD!$E3*$B2*NTD!H36+$B3*NTD!$C3/SUM(NTD!$C3:$C19)+NTD!$E3/$B5*NTD!H36*$B4)</f>
        <v>0</v>
      </c>
    </row>
    <row r="11" spans="1:16" s="34" customFormat="1" ht="15" customHeight="1" thickBot="1" x14ac:dyDescent="0.3">
      <c r="A11" s="136"/>
      <c r="B11" s="122" t="s">
        <v>101</v>
      </c>
      <c r="C11" s="6"/>
      <c r="D11" s="143"/>
      <c r="E11" s="61">
        <f>IF($B5=0,0,IF($B6=0,0,(NTD!$C3+NTD!$C3*$D11)*NTD!$F3*$B2*NTD!B36/$B6+$B3*NTD!$C3/SUM(NTD!$C3:$C19)*$B2/0.8/NTD!$H36*NTD!B36/$B6+(NTD!$C3+NTD!$C3*$D11)*NTD!$F3/$B5*NTD!B36*$B4/$B6))</f>
        <v>0</v>
      </c>
      <c r="F11" s="61">
        <f>IF($B5=0,0,IF($B6=0,0,(NTD!$C3+NTD!$C3*$D11)*NTD!$F3*$B2*NTD!C36/$B6+$B3*NTD!$C3/SUM(NTD!$C3:$C19)*$B2/0.8/NTD!$H36*NTD!C36/$B6+(NTD!$C3+NTD!$C3*$D11)*NTD!$F3/$B5*NTD!C36*$B4/$B6))</f>
        <v>0</v>
      </c>
      <c r="G11" s="61">
        <f>IF($B5=0,0,IF($B6=0,0,(NTD!$C3+NTD!$C3*$D11)*NTD!$F3*$B2*NTD!D36/$B6+$B3*NTD!$C3/SUM(NTD!$C3:$C19)*$B2/0.8/NTD!$H36*NTD!D36/$B6+(NTD!$C3+NTD!$C3*$D11)*NTD!$F3/$B5*NTD!D36*$B4/$B6))</f>
        <v>0</v>
      </c>
      <c r="H11" s="61">
        <f>IF($B5=0,0,IF($B6=0,0,(NTD!$C3+NTD!$C3*$D11)*NTD!$F3*$B2*NTD!E36/$B6+$B3*NTD!$C3/SUM(NTD!$C3:$C19)*$B2/0.8/NTD!$H36*NTD!E36/$B6+(NTD!$C3+NTD!$C3*$D11)*NTD!$F3/$B5*NTD!E36*$B4/$B6))</f>
        <v>0</v>
      </c>
      <c r="I11" s="61">
        <f>IF($B5=0,0,IF($B6=0,0,(NTD!$C3+NTD!$C3*$D11)*NTD!$F3*$B2*NTD!F36/$B6+$B3*NTD!$C3/SUM(NTD!$C3:$C19)*$B2/0.8/NTD!$H36*NTD!F36/$B6+(NTD!$C3+NTD!$C3*$D11)*NTD!$F3/$B5*NTD!F36*$B4/$B6))</f>
        <v>0</v>
      </c>
      <c r="J11" s="61">
        <f>IF($B5=0,0,IF($B6=0,0,(NTD!$C3+NTD!$C3*$D11)*NTD!$F3*$B2*NTD!G36/$B6+$B3*NTD!$C3/SUM(NTD!$C3:$C19)*$B2/0.8/NTD!$H36*NTD!G36/$B6+(NTD!$C3+NTD!$C3*$D11)*NTD!$F3/$B5*NTD!G36*$B4/$B6))</f>
        <v>0</v>
      </c>
      <c r="K11" s="62">
        <f>IF($B5=0,0,(NTD!$C3+NTD!$C3*$D11)*NTD!$F3*$B2*NTD!H36+$B3*NTD!$C3/SUM(NTD!$C3:$C19)+(NTD!$C3+NTD!$C3*$D11)*NTD!$F3/$B5*NTD!H36*$B4)</f>
        <v>0</v>
      </c>
    </row>
    <row r="12" spans="1:16" ht="15" customHeight="1" x14ac:dyDescent="0.25">
      <c r="A12" s="137" t="s">
        <v>97</v>
      </c>
      <c r="B12" s="123">
        <f>NTD!B1</f>
        <v>0</v>
      </c>
      <c r="C12" s="6"/>
      <c r="D12" s="145" t="s">
        <v>103</v>
      </c>
      <c r="E12" s="125">
        <f>IF($B6=0,0,NTD!$B4*NTD!B30/$B6)</f>
        <v>0</v>
      </c>
      <c r="F12" s="125">
        <f>IF($B6=0,0,NTD!$B4*NTD!C30/$B6)</f>
        <v>0</v>
      </c>
      <c r="G12" s="125">
        <f>IF($B6=0,0,NTD!$B4*NTD!D30/$B6)</f>
        <v>0</v>
      </c>
      <c r="H12" s="125">
        <f>IF($B6=0,0,NTD!$B4*NTD!E30/$B6)</f>
        <v>0</v>
      </c>
      <c r="I12" s="125">
        <f>IF($B6=0,0,NTD!$B4*NTD!F30/$B6)</f>
        <v>0</v>
      </c>
      <c r="J12" s="125">
        <f>IF($B6=0,0,NTD!$B4*NTD!G30/$B6)</f>
        <v>0</v>
      </c>
      <c r="K12" s="126">
        <f>NTD!$B4/NTD!H30</f>
        <v>0</v>
      </c>
    </row>
    <row r="13" spans="1:16" s="34" customFormat="1" ht="15" customHeight="1" x14ac:dyDescent="0.25">
      <c r="A13" s="135" t="s">
        <v>42</v>
      </c>
      <c r="B13" s="38" t="s">
        <v>34</v>
      </c>
      <c r="C13" s="6"/>
      <c r="D13" s="144" t="s">
        <v>114</v>
      </c>
      <c r="E13" s="55">
        <f>IF($B5=0,0,IF($B6=0,0,NTD!$E4*$B2*NTD!B36/$B6+$B3*NTD!$C4/SUM(NTD!$C3:'NTD'!$C19)*$B2/0.8/NTD!$H36*NTD!B36/$B6+NTD!$E4/$B5*NTD!B36*$B4/$B6))</f>
        <v>0</v>
      </c>
      <c r="F13" s="55">
        <f>IF($B5=0,0,IF($B6=0,0,NTD!$E4*$B2*NTD!C36/$B6+$B3*NTD!$C4/SUM(NTD!$C3:'NTD'!$C19)*$B2/0.8/NTD!$H36*NTD!C36/$B6+NTD!$E4/$B5*NTD!C36*$B4/$B6))</f>
        <v>0</v>
      </c>
      <c r="G13" s="55">
        <f>IF($B5=0,0,IF($B6=0,0,NTD!$E4*$B2*NTD!D36/$B6+$B3*NTD!$C4/SUM(NTD!$C3:'NTD'!$C19)*$B2/0.8/NTD!$H36*NTD!D36/$B6+NTD!$E4/$B5*NTD!D36*$B4/$B6))</f>
        <v>0</v>
      </c>
      <c r="H13" s="55">
        <f>IF($B5=0,0,IF($B6=0,0,NTD!$E4*$B2*NTD!E36/$B6+$B3*NTD!$C4/SUM(NTD!$C3:'NTD'!$C19)*$B2/0.8/NTD!$H36*NTD!E36/$B6+NTD!$E4/$B5*NTD!E36*$B4/$B6))</f>
        <v>0</v>
      </c>
      <c r="I13" s="55">
        <f>IF($B5=0,0,IF($B6=0,0,NTD!$E4*$B2*NTD!F36/$B6+$B3*NTD!$C4/SUM(NTD!$C3:'NTD'!$C19)*$B2/0.8/NTD!$H36*NTD!F36/$B6+NTD!$E4/$B5*NTD!F36*$B4/$B6))</f>
        <v>0</v>
      </c>
      <c r="J13" s="55">
        <f>IF($B5=0,0,IF($B6=0,0,NTD!$E4*$B2*NTD!G36/$B6+$B3*NTD!$C4/SUM(NTD!$C3:'NTD'!$C19)*$B2/0.8/NTD!$H36*NTD!G36/$B6+NTD!$E4/$B5*NTD!G36*$B4/$B6))</f>
        <v>0</v>
      </c>
      <c r="K13" s="56">
        <f>IF($B5=0,0,NTD!$E4*$B2*NTD!H36+$B3*NTD!$C4/SUM(NTD!$C3:'NTD'!$C19)+NTD!$E4/$B5*NTD!H36*$B4)</f>
        <v>0</v>
      </c>
    </row>
    <row r="14" spans="1:16" s="34" customFormat="1" ht="15" customHeight="1" thickBot="1" x14ac:dyDescent="0.3">
      <c r="A14" s="136"/>
      <c r="B14" s="38" t="s">
        <v>101</v>
      </c>
      <c r="C14" s="6"/>
      <c r="D14" s="128"/>
      <c r="E14" s="61">
        <f>IF($B5=0,0,IF($B6=0,0,(NTD!$E4+NTD!$E4*$D14)*$B2*NTD!B36/$B6+$B3*NTD!$C4/SUM(NTD!$C3:'NTD'!$C19)*$B2/0.8/NTD!$H36*NTD!B36/$B6+(NTD!$E4+NTD!$E4*$D14)/$B5*NTD!B36*$B4/$B6))</f>
        <v>0</v>
      </c>
      <c r="F14" s="61">
        <f>IF($B5=0,0,IF($B6=0,0,(NTD!$E4+NTD!$E4*$D14)*$B2*NTD!C36/$B6+$B3*NTD!$C4/SUM(NTD!$C3:'NTD'!$C19)*$B2/0.8/NTD!$H36*NTD!C36/$B6+(NTD!$E4+NTD!$E4*$D14)/$B5*NTD!C36*$B4/$B6))</f>
        <v>0</v>
      </c>
      <c r="G14" s="61">
        <f>IF($B5=0,0,IF($B6=0,0,(NTD!$E4+NTD!$E4*$D14)*$B2*NTD!D36/$B6+$B3*NTD!$C4/SUM(NTD!$C3:'NTD'!$C19)*$B2/0.8/NTD!$H36*NTD!D36/$B6+(NTD!$E4+NTD!$E4*$D14)/$B5*NTD!D36*$B4/$B6))</f>
        <v>0</v>
      </c>
      <c r="H14" s="61">
        <f>IF($B5=0,0,IF($B6=0,0,(NTD!$E4+NTD!$E4*$D14)*$B2*NTD!E36/$B6+$B3*NTD!$C4/SUM(NTD!$C3:'NTD'!$C19)*$B2/0.8/NTD!$H36*NTD!E36/$B6+(NTD!$E4+NTD!$E4*$D14)/$B5*NTD!E36*$B4/$B6))</f>
        <v>0</v>
      </c>
      <c r="I14" s="61">
        <f>IF($B5=0,0,IF($B6=0,0,(NTD!$E4+NTD!$E4*$D14)*$B2*NTD!F36/$B6+$B3*NTD!$C4/SUM(NTD!$C3:'NTD'!$C19)*$B2/0.8/NTD!$H36*NTD!F36/$B6+(NTD!$E4+NTD!$E4*$D14)/$B5*NTD!F36*$B4/$B6))</f>
        <v>0</v>
      </c>
      <c r="J14" s="61">
        <f>IF($B5=0,0,IF($B6=0,0,(NTD!$E4+NTD!$E4*$D14)*$B2*NTD!G36/$B6+$B3*NTD!$C4/SUM(NTD!$C3:'NTD'!$C19)*$B2/0.8/NTD!$H36*NTD!G36/$B6+(NTD!$E4+NTD!$E4*$D14)/$B5*NTD!G36*$B4/$B6))</f>
        <v>0</v>
      </c>
      <c r="K14" s="62">
        <f>IF($B5=0,0,(NTD!$E4+NTD!$E4*$D14)*$B2*NTD!H36+$B3*NTD!$C4/SUM(NTD!$C3:'NTD'!$C19)+(NTD!$E4+NTD!$E4*$D14)/$B5*NTD!H36*$B4)</f>
        <v>0</v>
      </c>
    </row>
    <row r="15" spans="1:16" ht="15" customHeight="1" x14ac:dyDescent="0.25">
      <c r="A15" s="113" t="s">
        <v>98</v>
      </c>
      <c r="B15" s="121">
        <f>NTD!B1</f>
        <v>0</v>
      </c>
      <c r="C15" s="21"/>
      <c r="D15" s="145" t="s">
        <v>103</v>
      </c>
      <c r="E15" s="125">
        <f>IF($B6=0,0,NTD!$B5*NTD!B30/$B6)</f>
        <v>0</v>
      </c>
      <c r="F15" s="125">
        <f>IF($B6=0,0,NTD!$B5*NTD!C30/$B6)</f>
        <v>0</v>
      </c>
      <c r="G15" s="125">
        <f>IF($B6=0,0,NTD!$B5*NTD!D30/$B6)</f>
        <v>0</v>
      </c>
      <c r="H15" s="125">
        <f>IF($B6=0,0,NTD!$B5*NTD!E30/$B6)</f>
        <v>0</v>
      </c>
      <c r="I15" s="125">
        <f>IF($B6=0,0,NTD!$B5*NTD!F30/$B6)</f>
        <v>0</v>
      </c>
      <c r="J15" s="125">
        <f>IF($B6=0,0,NTD!$B5*NTD!G30/$B6)</f>
        <v>0</v>
      </c>
      <c r="K15" s="133">
        <f>NTD!$B5/NTD!H30</f>
        <v>0</v>
      </c>
    </row>
    <row r="16" spans="1:16" s="34" customFormat="1" ht="15" customHeight="1" x14ac:dyDescent="0.25">
      <c r="A16" s="111" t="s">
        <v>42</v>
      </c>
      <c r="B16" s="38" t="s">
        <v>34</v>
      </c>
      <c r="C16" s="6"/>
      <c r="D16" s="144" t="s">
        <v>114</v>
      </c>
      <c r="E16" s="55">
        <f>IF($B5=0,0,IF($B6=0,0,NTD!$E5*$B2*NTD!B36/$B6+$B3*NTD!$C5/SUM(NTD!$C3:$C19)*$B2/0.8/NTD!$H36*NTD!B36/$B6+NTD!$E5/$B5*NTD!$B36*$B4/$B6))</f>
        <v>0</v>
      </c>
      <c r="F16" s="55">
        <f>IF($B5=0,0,IF($B6=0,0,NTD!$E5*$B2*NTD!C36/$B6+$B3*NTD!$C5/SUM(NTD!$C3:$C19)*$B2/0.8/NTD!$H36*NTD!C36/$B6+NTD!$E5/$B5*NTD!C36*$B4/$B6))</f>
        <v>0</v>
      </c>
      <c r="G16" s="55">
        <f>IF($B5=0,0,IF($B6=0,0,NTD!$E5*$B2*NTD!D36/$B6+$B3*NTD!$C5/SUM(NTD!$C3:$C19)*$B2/0.8/NTD!$H36*NTD!D36/$B6+NTD!$E5/$B5*NTD!D36*$B4/$B6))</f>
        <v>0</v>
      </c>
      <c r="H16" s="55">
        <f>IF($B5=0,0,IF($B6=0,0,NTD!$E5*$B2*NTD!E36/$B6+$B3*NTD!$C5/SUM(NTD!$C3:$C19)*$B2/0.8/NTD!$H36*NTD!E36/$B6+NTD!$E5/$B5*NTD!E36*$B4/$B6))</f>
        <v>0</v>
      </c>
      <c r="I16" s="55">
        <f>IF($B5=0,0,IF($B6=0,0,NTD!$E5*$B2*NTD!F36/$B6+$B3*NTD!$C5/SUM(NTD!$C3:$C19)*$B2/0.8/NTD!$H36*NTD!F36/$B6+NTD!$E5/$B5*NTD!F36*$B4/$B6))</f>
        <v>0</v>
      </c>
      <c r="J16" s="55">
        <f>IF($B5=0,0,IF($B6=0,0,NTD!$E5*$B2*NTD!G36/$B6+$B3*NTD!$C5/SUM(NTD!$C3:$C19)*$B2/0.8/NTD!$H36*NTD!G36/$B6+NTD!$E5/$B5*NTD!G36*$B4/$B6))</f>
        <v>0</v>
      </c>
      <c r="K16" s="56">
        <f>IF($B5=0,0,NTD!$E5*$B2*NTD!H36+$B3*NTD!$C5/SUM(NTD!$C3:'NTD'!$C19)+NTD!$C5*NTD!$F5/$B5*NTD!H36*$B4)</f>
        <v>0</v>
      </c>
    </row>
    <row r="17" spans="1:16" ht="15" customHeight="1" thickBot="1" x14ac:dyDescent="0.3">
      <c r="A17" s="112"/>
      <c r="B17" s="38" t="s">
        <v>101</v>
      </c>
      <c r="C17" s="6"/>
      <c r="D17" s="128"/>
      <c r="E17" s="61">
        <f>IF($B5=0,0,IF($B6=0,0,(NTD!$C5+NTD!$C5*$D17)*NTD!$F5*$B2*NTD!B36/$B6+$B3*NTD!$C5/SUM(NTD!$C3:'NTD'!$C19)*$B2/0.8/NTD!$H36*NTD!B36/$B6+(NTD!$C5+NTD!$C5*$D17)*NTD!$F5/$B5*NTD!B36*$B4/$B6))</f>
        <v>0</v>
      </c>
      <c r="F17" s="61">
        <f>IF($B5=0,0,IF($B6=0,0,(NTD!$C5+NTD!$C5*$D17)*NTD!$F5*$B2*NTD!C36/$B6+$B3*NTD!$C5/SUM(NTD!$C3:'NTD'!$C19)*$B2/0.8/NTD!$H36*NTD!C36/$B6+(NTD!$C5+NTD!$C5*$D17)*NTD!$F5/$B5*NTD!C36*$B4/$B6))</f>
        <v>0</v>
      </c>
      <c r="G17" s="61">
        <f>IF($B5=0,0,IF($B6=0,0,(NTD!$C5+NTD!$C5*$D17)*NTD!$F5*$B2*NTD!D36/$B6+$B3*NTD!$C5/SUM(NTD!$C3:'NTD'!$C19)*$B2/0.8/NTD!$H36*NTD!D36/$B6+(NTD!$C5+NTD!$C5*$D17)*NTD!$F5/$B5*NTD!D36*$B4/$B6))</f>
        <v>0</v>
      </c>
      <c r="H17" s="61">
        <f>IF($B5=0,0,IF($B6=0,0,(NTD!$C5+NTD!$C5*$D17)*NTD!$F5*$B2*NTD!E36/$B6+$B3*NTD!$C5/SUM(NTD!$C3:'NTD'!$C19)*$B2/0.8/NTD!$H36*NTD!E36/$B6+(NTD!$C5+NTD!$C5*$D17)*NTD!$F5/$B5*NTD!E36*$B4/$B6))</f>
        <v>0</v>
      </c>
      <c r="I17" s="61">
        <f>IF($B5=0,0,IF($B6=0,0,(NTD!$C5+NTD!$C5*$D17)*NTD!$F5*$B2*NTD!F36/$B6+$B3*NTD!$C5/SUM(NTD!$C3:'NTD'!$C19)*$B2/0.8/NTD!$H36*NTD!F36/$B6+(NTD!$C5+NTD!$C5*$D17)*NTD!$F5/$B5*NTD!F36*$B4/$B6))</f>
        <v>0</v>
      </c>
      <c r="J17" s="61">
        <f>IF($B5=0,0,IF($B6=0,0,(NTD!$C5+NTD!$C5*$D17)*NTD!$F5*$B2*NTD!G36/$B6+$B3*NTD!$C5/SUM(NTD!$C3:'NTD'!$C19)*$B2/0.8/NTD!$H36*NTD!G36/$B6+(NTD!$C5+NTD!$C5*$D17)*NTD!$F5/$B5*NTD!G36*$B4/$B6))</f>
        <v>0</v>
      </c>
      <c r="K17" s="62">
        <f>IF($B5=0,0,(NTD!$C5+NTD!$C5*$D17)*NTD!$F5*$B2*NTD!H36+$B3*NTD!$C5/SUM(NTD!$C3:'NTD'!$C19)+(NTD!$C5+NTD!$C5*$D17)*NTD!$F5/$B5*NTD!H36*$B4)</f>
        <v>0</v>
      </c>
    </row>
    <row r="18" spans="1:16" ht="15" customHeight="1" x14ac:dyDescent="0.25">
      <c r="A18" s="113" t="s">
        <v>99</v>
      </c>
      <c r="B18" s="121">
        <f>NTD!B1</f>
        <v>0</v>
      </c>
      <c r="C18" s="21"/>
      <c r="D18" s="145" t="s">
        <v>103</v>
      </c>
      <c r="E18" s="51">
        <f>IF($B6=0,0,NTD!$B6*NTD!B30/$B6)</f>
        <v>0</v>
      </c>
      <c r="F18" s="51">
        <f>IF($B6=0,0,NTD!$B6*NTD!C30/$B6)</f>
        <v>0</v>
      </c>
      <c r="G18" s="51">
        <f>IF($B6=0,0,NTD!$B6*NTD!D30/$B6)</f>
        <v>0</v>
      </c>
      <c r="H18" s="51">
        <f>IF($B6=0,0,NTD!$B6*NTD!E30/$B6)</f>
        <v>0</v>
      </c>
      <c r="I18" s="51">
        <f>IF($B6=0,0,NTD!$B6*NTD!F30/$B6)</f>
        <v>0</v>
      </c>
      <c r="J18" s="51">
        <f>IF($B6=0,0,NTD!$B6*NTD!G30/$B6)</f>
        <v>0</v>
      </c>
      <c r="K18" s="41">
        <f>NTD!$B6/NTD!H30</f>
        <v>0</v>
      </c>
    </row>
    <row r="19" spans="1:16" s="34" customFormat="1" ht="15" customHeight="1" x14ac:dyDescent="0.25">
      <c r="A19" s="111" t="s">
        <v>42</v>
      </c>
      <c r="B19" s="38" t="s">
        <v>34</v>
      </c>
      <c r="C19" s="6"/>
      <c r="D19" s="144" t="s">
        <v>114</v>
      </c>
      <c r="E19" s="55">
        <f>IF($B5=0,0,IF($B6=0,0,NTD!$E6*$B2*NTD!B36/$B6+$B3*NTD!$C6/SUM(NTD!$C3:'NTD'!$C19)*$B2/0.8/NTD!$H36*NTD!B36/$B6+NTD!$E6/$B5*NTD!B36*$B4/$B6))</f>
        <v>0</v>
      </c>
      <c r="F19" s="55">
        <f>IF($B5=0,0,IF($B6=0,0,NTD!$E6*$B2*NTD!C36/$B6+$B3*NTD!$C6/SUM(NTD!$C3:'NTD'!$C19)*$B2/0.8/NTD!$H36*NTD!C36/$B6+NTD!$E6/$B5*NTD!C36*$B4/$B6))</f>
        <v>0</v>
      </c>
      <c r="G19" s="55">
        <f>IF($B5=0,0,IF($B6=0,0,NTD!$E6*$B2*NTD!D36/$B6+$B3*NTD!$C6/SUM(NTD!$C3:'NTD'!$C19)*$B2/0.8/NTD!$H36*NTD!D36/$B6+NTD!$E6/$B5*NTD!D36*$B4/$B6))</f>
        <v>0</v>
      </c>
      <c r="H19" s="55">
        <f>IF($B5=0,0,IF($B6=0,0,NTD!$E6*$B2*NTD!E36/$B6+$B3*NTD!$C6/SUM(NTD!$C3:'NTD'!$C19)*$B2/0.8/NTD!$H36*NTD!E36/$B6+NTD!$E6/$B5*NTD!E36*$B4/$B6))</f>
        <v>0</v>
      </c>
      <c r="I19" s="55">
        <f>IF($B5=0,0,IF($B6=0,0,NTD!$E6*$B2*NTD!F36/$B6+$B3*NTD!$C6/SUM(NTD!$C3:'NTD'!$C19)*$B2/0.8/NTD!$H36*NTD!F36/$B6+NTD!$E6/$B5*NTD!F36*$B4/$B6))</f>
        <v>0</v>
      </c>
      <c r="J19" s="55">
        <f>IF($B5=0,0,IF($B6=0,0,NTD!$E6*$B2*NTD!G36/$B6+$B3*NTD!$C6/SUM(NTD!$C3:'NTD'!$C19)*$B2/0.8/NTD!$H36*NTD!G36/$B6+NTD!$E6/$B5*NTD!G36*$B4/$B6))</f>
        <v>0</v>
      </c>
      <c r="K19" s="56">
        <f>IF($B5=0,0,NTD!$E6*$B2*NTD!H36+$B3*NTD!$C6/SUM(NTD!$C3:$C19)+NTD!$C6*NTD!$F6/$B5*NTD!H36*$B4)</f>
        <v>0</v>
      </c>
    </row>
    <row r="20" spans="1:16" ht="15" customHeight="1" thickBot="1" x14ac:dyDescent="0.3">
      <c r="A20" s="112"/>
      <c r="B20" s="38" t="s">
        <v>101</v>
      </c>
      <c r="C20" s="6"/>
      <c r="D20" s="128"/>
      <c r="E20" s="61">
        <f>IF($B5=0,0,IF($B6=0,0,(NTD!$C6+NTD!$C6*$D20)*NTD!$F6*$B2*NTD!B36/$B6+$B3*NTD!$C6/SUM(NTD!$C3:$C19)*$B2/0.8/NTD!$H36*NTD!B36/$B6+(NTD!$C6+NTD!$C6*$D20)*NTD!$F6/$B5*NTD!B$36*$B4/$B6))</f>
        <v>0</v>
      </c>
      <c r="F20" s="61">
        <f>IF($B5=0,0,IF($B6=0,0,(NTD!$C6+NTD!$C6*$D20)*NTD!$F6*$B2*NTD!C36/$B6+$B3*NTD!$C6/SUM(NTD!$C3:$C19)*$B2/0.8/NTD!$H36*NTD!C36/$B6+(NTD!$C6+NTD!$C6*$D20)*NTD!$F6/$B5*NTD!C$36*$B4/$B6))</f>
        <v>0</v>
      </c>
      <c r="G20" s="61">
        <f>IF($B5=0,0,IF($B6=0,0,(NTD!$C6+NTD!$C6*$D20)*NTD!$F6*$B2*NTD!D36/$B6+$B3*NTD!$C6/SUM(NTD!$C3:$C19)*$B2/0.8/NTD!$H36*NTD!D36/$B6+(NTD!$C6+NTD!$C6*$D20)*NTD!$F6/$B5*NTD!D$36*$B4/$B6))</f>
        <v>0</v>
      </c>
      <c r="H20" s="61">
        <f>IF($B5=0,0,IF($B6=0,0,(NTD!$C6+NTD!$C6*$D20)*NTD!$F6*$B2*NTD!E36/$B6+$B3*NTD!$C6/SUM(NTD!$C3:$C19)*$B2/0.8/NTD!$H36*NTD!E36/$B6+(NTD!$C6+NTD!$C6*$D20)*NTD!$F6/$B5*NTD!E$36*$B4/$B6))</f>
        <v>0</v>
      </c>
      <c r="I20" s="61">
        <f>IF($B5=0,0,IF($B6=0,0,(NTD!$C6+NTD!$C6*$D20)*NTD!$F6*$B2*NTD!F36/$B6+$B3*NTD!$C6/SUM(NTD!$C3:$C19)*$B2/0.8/NTD!$H36*NTD!F36/$B6+(NTD!$C6+NTD!$C6*$D20)*NTD!$F6/$B5*NTD!F$36*$B4/$B6))</f>
        <v>0</v>
      </c>
      <c r="J20" s="61">
        <f>IF($B5=0,0,IF($B6=0,0,(NTD!$C6+NTD!$C6*$D20)*NTD!$F6*$B2*NTD!G36/$B6+$B3*NTD!$C6/SUM(NTD!$C3:$C19)*$B2/0.8/NTD!$H36*NTD!G36/$B6+(NTD!$C6+NTD!$C6*$D20)*NTD!$F6/$B5*NTD!G$36*$B4/$B6))</f>
        <v>0</v>
      </c>
      <c r="K20" s="62">
        <f>IF($B5=0,0,(NTD!$C6+NTD!$C6*$D20)*NTD!$F6*$B2*NTD!H36+$B3*NTD!$C6/SUM(NTD!$C3:$C19)+(NTD!$C6+NTD!$C6*$D20)*NTD!$F6/$B5*NTD!H36*$B4)</f>
        <v>0</v>
      </c>
    </row>
    <row r="21" spans="1:16" s="34" customFormat="1" ht="15" customHeight="1" x14ac:dyDescent="0.25">
      <c r="A21" s="116" t="s">
        <v>110</v>
      </c>
      <c r="B21" s="121">
        <f>NTD!B1</f>
        <v>0</v>
      </c>
      <c r="C21" s="6"/>
      <c r="D21" s="145" t="s">
        <v>103</v>
      </c>
      <c r="E21" s="51">
        <f>IF($B6=0,0,NTD!$B7*NTD!B30/$B6)</f>
        <v>0</v>
      </c>
      <c r="F21" s="51">
        <f>IF($B6=0,0,NTD!$B7*NTD!C30/$B6)</f>
        <v>0</v>
      </c>
      <c r="G21" s="51">
        <f>IF($B6=0,0,NTD!$B7*NTD!D30/$B6)</f>
        <v>0</v>
      </c>
      <c r="H21" s="51">
        <f>IF($B6=0,0,NTD!$B7*NTD!E30/$B6)</f>
        <v>0</v>
      </c>
      <c r="I21" s="51">
        <f>IF($B6=0,0,NTD!$B7*NTD!F30/$B6)</f>
        <v>0</v>
      </c>
      <c r="J21" s="51">
        <f>IF($B6=0,0,NTD!$B7*NTD!G30/$B6)</f>
        <v>0</v>
      </c>
      <c r="K21" s="41">
        <f>NTD!$B7/NTD!H30</f>
        <v>0</v>
      </c>
    </row>
    <row r="22" spans="1:16" s="34" customFormat="1" ht="15" customHeight="1" x14ac:dyDescent="0.25">
      <c r="A22" s="114" t="s">
        <v>42</v>
      </c>
      <c r="B22" s="38" t="s">
        <v>34</v>
      </c>
      <c r="C22" s="6"/>
      <c r="D22" s="144" t="s">
        <v>114</v>
      </c>
      <c r="E22" s="55">
        <f>IF($B5=0,0,IF($B6=0,0,NTD!$E7*$B2*NTD!B36/$B6+$B3*NTD!$C7/SUM(NTD!$C3:'NTD'!C19)*$B2/0.8/NTD!$H36*NTD!B36/$B6+NTD!$E7/$B5*NTD!B36*$B4/$B6))</f>
        <v>0</v>
      </c>
      <c r="F22" s="55">
        <f>IF($B5=0,0,IF($B6=0,0,NTD!$E7*$B2*NTD!C36/$B6+$B3*NTD!$C7/SUM(NTD!$C3:'NTD'!D19)*$B2/0.8/NTD!$H36*NTD!C36/$B6+NTD!$E7/$B5*NTD!C36*$B4/$B6))</f>
        <v>0</v>
      </c>
      <c r="G22" s="55">
        <f>IF($B5=0,0,IF($B6=0,0,NTD!$E7*$B2*NTD!D36/$B6+$B3*NTD!$C7/SUM(NTD!$C3:'NTD'!E19)*$B2/0.8/NTD!$H36*NTD!D36/$B6+NTD!$E7/$B5*NTD!D36*$B4/$B6))</f>
        <v>0</v>
      </c>
      <c r="H22" s="55">
        <f>IF($B5=0,0,IF($B6=0,0,NTD!$E7*$B2*NTD!E36/$B6+$B3*NTD!$C7/SUM(NTD!$C3:'NTD'!F19)*$B2/0.8/NTD!$H36*NTD!E36/$B6+NTD!$E7/$B5*NTD!E36*$B4/$B6))</f>
        <v>0</v>
      </c>
      <c r="I22" s="55">
        <f>IF($B5=0,0,IF($B6=0,0,NTD!$E7*$B2*NTD!F36/$B6+$B3*NTD!$C7/SUM(NTD!$C3:'NTD'!G19)*$B2/0.8/NTD!$H36*NTD!F36/$B6+NTD!$E7/$B5*NTD!F36*$B4/$B6))</f>
        <v>0</v>
      </c>
      <c r="J22" s="55">
        <f>IF($B5=0,0,IF($B6=0,0,NTD!$E7*$B2*NTD!G36/$B6+$B3*NTD!$C7/SUM(NTD!$C3:'NTD'!H19)*$B2/0.8/NTD!$H36*NTD!G36/$B6+NTD!$E7/$B5*NTD!G36*$B4/$B6))</f>
        <v>0</v>
      </c>
      <c r="K22" s="56">
        <f>IF($B5=0,0,NTD!$E7*$B2*NTD!H36+$B3*NTD!$C7/SUM(NTD!$C3:'NTD'!$C19)+NTD!$C7*NTD!$F7/$B5*NTD!H36*$B4)</f>
        <v>0</v>
      </c>
    </row>
    <row r="23" spans="1:16" s="34" customFormat="1" ht="15" customHeight="1" thickBot="1" x14ac:dyDescent="0.3">
      <c r="A23" s="115"/>
      <c r="B23" s="38" t="s">
        <v>101</v>
      </c>
      <c r="C23" s="6"/>
      <c r="D23" s="128"/>
      <c r="E23" s="61">
        <f>IF($B5=0,0,IF($B6=0,0,(NTD!$C7+NTD!$C7*$D23)*NTD!$F7*$B2*NTD!B36/$B6+$B3*NTD!$C7/SUM(NTD!$C3:$C19)*$B2/0.8/NTD!$H36*NTD!B36/$B6+(NTD!$C7+NTD!$C7*$D23)*NTD!$F7/$B5*NTD!B36*$B4/$B6))</f>
        <v>0</v>
      </c>
      <c r="F23" s="61">
        <f>IF($B5=0,0,IF($B6=0,0,(NTD!$C7+NTD!$C7*$D23)*NTD!$F7*$B2*NTD!C36/$B6+$B3*NTD!$C7/SUM(NTD!$C3:$C19)*$B2/0.8/NTD!$H36*NTD!C36/$B6+(NTD!$C7+NTD!$C7*$D23)*NTD!$F7/$B5*NTD!C36*$B4/$B6))</f>
        <v>0</v>
      </c>
      <c r="G23" s="61">
        <f>IF($B5=0,0,IF($B6=0,0,(NTD!$C7+NTD!$C7*$D23)*NTD!$F7*$B2*NTD!D36/$B6+$B3*NTD!$C7/SUM(NTD!$C3:$C19)*$B2/0.8/NTD!$H36*NTD!D36/$B6+(NTD!$C7+NTD!$C7*$D23)*NTD!$F7/$B5*NTD!D36*$B4/$B6))</f>
        <v>0</v>
      </c>
      <c r="H23" s="61">
        <f>IF($B5=0,0,IF($B6=0,0,(NTD!$C7+NTD!$C7*$D23)*NTD!$F7*$B2*NTD!E36/$B6+$B3*NTD!$C7/SUM(NTD!$C3:$C19)*$B2/0.8/NTD!$H36*NTD!E36/$B6+(NTD!$C7+NTD!$C7*$D23)*NTD!$F7/$B5*NTD!E36*$B4/$B6))</f>
        <v>0</v>
      </c>
      <c r="I23" s="61">
        <f>IF($B5=0,0,IF($B6=0,0,(NTD!$C7+NTD!$C7*$D23)*NTD!$F7*$B2*NTD!F36/$B6+$B3*NTD!$C7/SUM(NTD!$C3:$C19)*$B2/0.8/NTD!$H36*NTD!F36/$B6+(NTD!$C7+NTD!$C7*$D23)*NTD!$F7/$B5*NTD!F36*$B4/$B6))</f>
        <v>0</v>
      </c>
      <c r="J23" s="61">
        <f>IF($B5=0,0,IF($B6=0,0,(NTD!$C7+NTD!$C7*$D23)*NTD!$F7*$B2*NTD!G36/$B6+$B3*NTD!$C7/SUM(NTD!$C3:$C19)*$B2/0.8/NTD!$H36*NTD!G36/$B6+(NTD!$C7+NTD!$C7*$D23)*NTD!$F7/$B5*NTD!G36*$B4/$B6))</f>
        <v>0</v>
      </c>
      <c r="K23" s="62">
        <f>IF($B5=0,0,(NTD!$C7+NTD!$C7*$D23)*NTD!$F7*$B2*NTD!H36+$B3*NTD!$C7/SUM(NTD!$C3:'NTD'!$C19)+(NTD!$C7+NTD!$C7*$D23)*NTD!$F7/$B5*NTD!H36*$B4)</f>
        <v>0</v>
      </c>
    </row>
    <row r="24" spans="1:16" s="34" customFormat="1" ht="15" customHeight="1" x14ac:dyDescent="0.25">
      <c r="A24" s="116" t="s">
        <v>109</v>
      </c>
      <c r="B24" s="121">
        <f>NTD!B1</f>
        <v>0</v>
      </c>
      <c r="C24" s="6"/>
      <c r="D24" s="145" t="s">
        <v>103</v>
      </c>
      <c r="E24" s="51">
        <f>IF($B6=0,0,NTD!$B8*NTD!B30/$B6)</f>
        <v>0</v>
      </c>
      <c r="F24" s="51">
        <f>IF($B6=0,0,NTD!$B8*NTD!C30/$B6)</f>
        <v>0</v>
      </c>
      <c r="G24" s="51">
        <f>IF($B6=0,0,NTD!$B8*NTD!D30/$B6)</f>
        <v>0</v>
      </c>
      <c r="H24" s="51">
        <f>IF($B6=0,0,NTD!$B8*NTD!E30/$B6)</f>
        <v>0</v>
      </c>
      <c r="I24" s="51">
        <f>IF($B6=0,0,NTD!$B8*NTD!F30/$B6)</f>
        <v>0</v>
      </c>
      <c r="J24" s="51">
        <f>IF($B6=0,0,NTD!$B8*NTD!G30/$B6)</f>
        <v>0</v>
      </c>
      <c r="K24" s="41">
        <f>NTD!$B8/NTD!H30</f>
        <v>0</v>
      </c>
    </row>
    <row r="25" spans="1:16" s="34" customFormat="1" ht="15" customHeight="1" x14ac:dyDescent="0.25">
      <c r="A25" s="114" t="s">
        <v>42</v>
      </c>
      <c r="B25" s="38" t="s">
        <v>34</v>
      </c>
      <c r="C25" s="6"/>
      <c r="D25" s="144" t="s">
        <v>114</v>
      </c>
      <c r="E25" s="55">
        <f>IF($B5=0,0,IF($B6=0,0,NTD!$E8*$B2*NTD!B36/$B6+$B3*NTD!$C8/SUM(NTD!$C3:$C19)*$B2/0.8/NTD!$H36*NTD!B36/$B6+NTD!$E8/$B5*NTD!B36*$B4/$B6))</f>
        <v>0</v>
      </c>
      <c r="F25" s="55">
        <f>IF($B5=0,0,IF($B6=0,0,NTD!$E8*$B2*NTD!C36/$B6+$B3*NTD!$C8/SUM(NTD!$C3:$C19)*$B2/0.8/NTD!$H36*NTD!C36/$B6+NTD!$E8/$B5*NTD!C36*$B4/$B6))</f>
        <v>0</v>
      </c>
      <c r="G25" s="55">
        <f>IF($B5=0,0,IF($B6=0,0,NTD!$E8*$B2*NTD!D36/$B6+$B3*NTD!$C8/SUM(NTD!$C3:$C19)*$B2/0.8/NTD!$H36*NTD!D36/$B6+NTD!$E8/$B5*NTD!D36*$B4/$B6))</f>
        <v>0</v>
      </c>
      <c r="H25" s="55">
        <f>IF($B5=0,0,IF($B6=0,0,NTD!$E8*$B2*NTD!E36/$B6+$B3*NTD!$C8/SUM(NTD!$C3:$C19)*$B2/0.8/NTD!$H36*NTD!E36/$B6+NTD!$E8/$B5*NTD!E36*$B4/$B6))</f>
        <v>0</v>
      </c>
      <c r="I25" s="55">
        <f>IF($B5=0,0,IF($B6=0,0,NTD!$E8*$B2*NTD!F36/$B6+$B3*NTD!$C8/SUM(NTD!$C3:$C19)*$B2/0.8/NTD!$H36*NTD!F36/$B6+NTD!$E8/$B5*NTD!F36*$B4/$B6))</f>
        <v>0</v>
      </c>
      <c r="J25" s="55">
        <f>IF($B5=0,0,IF($B6=0,0,NTD!$E8*$B2*NTD!G36/$B6+$B3*NTD!$C8/SUM(NTD!$C3:$C19)*$B2/0.8/NTD!$H36*NTD!G36/$B6+NTD!$E8/$B5*NTD!G36*$B4/$B6))</f>
        <v>0</v>
      </c>
      <c r="K25" s="56">
        <f>IF($B5=0,0,NTD!$E8*$B2*NTD!H36+$B3*NTD!$C8/SUM(NTD!$C3:'NTD'!$C19)+NTD!$C8*NTD!F8/$B5*NTD!H36*$B4)</f>
        <v>0</v>
      </c>
    </row>
    <row r="26" spans="1:16" s="34" customFormat="1" ht="15" customHeight="1" thickBot="1" x14ac:dyDescent="0.3">
      <c r="A26" s="115"/>
      <c r="B26" s="38" t="s">
        <v>101</v>
      </c>
      <c r="C26" s="6"/>
      <c r="D26" s="128"/>
      <c r="E26" s="61">
        <f>IF($B5=0,0,IF($B6=0,0,(NTD!$C8+NTD!$C8*$D26)*NTD!$F8*$B2*NTD!B36/$B6+$B3*NTD!$C8/SUM(NTD!$C3:'NTD'!$C19)*$B2/0.8/NTD!$H36*NTD!B36/$B6+(NTD!$C8+NTD!$C8*$D26)*NTD!$F8/$B5*NTD!B36*$B4/$B6))</f>
        <v>0</v>
      </c>
      <c r="F26" s="61">
        <f>IF($B5=0,0,IF($B6=0,0,(NTD!$C8+NTD!$C8*$D26)*NTD!$F8*$B2*NTD!C36/$B6+$B3*NTD!$C8/SUM(NTD!$C3:'NTD'!$C19)*$B2/0.8/NTD!$H36*NTD!C36/$B6+(NTD!$C8+NTD!$C8*$D26)*NTD!$F8/$B5*NTD!C36*$B4/$B6))</f>
        <v>0</v>
      </c>
      <c r="G26" s="61">
        <f>IF($B5=0,0,IF($B6=0,0,(NTD!$C8+NTD!$C8*$D26)*NTD!$F8*$B2*NTD!D36/$B6+$B3*NTD!$C8/SUM(NTD!$C3:'NTD'!$C19)*$B2/0.8/NTD!$H36*NTD!D36/$B6+(NTD!$C8+NTD!$C8*$D26)*NTD!$F8/$B5*NTD!D36*$B4/$B6))</f>
        <v>0</v>
      </c>
      <c r="H26" s="61">
        <f>IF($B5=0,0,IF($B6=0,0,(NTD!$C8+NTD!$C8*$D26)*NTD!$F8*$B2*NTD!E36/$B6+$B3*NTD!$C8/SUM(NTD!$C3:'NTD'!$C19)*$B2/0.8/NTD!$H36*NTD!E36/$B6+(NTD!$C8+NTD!$C8*$D26)*NTD!$F8/$B5*NTD!E36*$B4/$B6))</f>
        <v>0</v>
      </c>
      <c r="I26" s="61">
        <f>IF($B5=0,0,IF($B6=0,0,(NTD!$C8+NTD!$C8*$D26)*NTD!$F8*$B2*NTD!F36/$B6+$B3*NTD!$C8/SUM(NTD!$C3:'NTD'!$C19)*$B2/0.8/NTD!$H36*NTD!F36/$B6+(NTD!$C8+NTD!$C8*$D26)*NTD!$F8/$B5*NTD!F36*$B4/$B6))</f>
        <v>0</v>
      </c>
      <c r="J26" s="61">
        <f>IF($B5=0,0,IF($B6=0,0,(NTD!$C8+NTD!$C8*$D26)*NTD!$F8*$B2*NTD!G36/$B6+$B3*NTD!$C8/SUM(NTD!$C3:'NTD'!$C19)*$B2/0.8/NTD!$H36*NTD!G36/$B6+(NTD!$C8+NTD!$C8*$D26)*NTD!$F8/$B5*NTD!G36*$B4/$B6))</f>
        <v>0</v>
      </c>
      <c r="K26" s="62">
        <f>IF($B5=0,0,(NTD!$C8+NTD!$C8*$D26)*NTD!$F8*$B2*NTD!H36+$B3*NTD!$C8/SUM(NTD!$C3:'NTD'!$C19)+(NTD!$C8+NTD!$C8*$D26)*NTD!$F8/$B5*NTD!H36*$B4)</f>
        <v>0</v>
      </c>
    </row>
    <row r="27" spans="1:16" s="34" customFormat="1" ht="15" customHeight="1" x14ac:dyDescent="0.25">
      <c r="A27" s="116" t="s">
        <v>108</v>
      </c>
      <c r="B27" s="121">
        <f>NTD!B1</f>
        <v>0</v>
      </c>
      <c r="C27" s="6"/>
      <c r="D27" s="145" t="s">
        <v>103</v>
      </c>
      <c r="E27" s="125">
        <f>IF($B6=0,0,(NTD!$D9*NTD!B31+NTD!$D10*NTD!B32+NTD!$B11*NTD!B30)/$B6)</f>
        <v>0</v>
      </c>
      <c r="F27" s="125">
        <f>IF($B6=0,0,(NTD!$D9*NTD!C31+NTD!$D10*NTD!C32+NTD!$B11*NTD!C30)/$B6)</f>
        <v>0</v>
      </c>
      <c r="G27" s="125">
        <f>IF($B6=0,0,(NTD!$D9*NTD!D31+NTD!$D10*NTD!D32+NTD!$B11*NTD!D30)/$B6)</f>
        <v>0</v>
      </c>
      <c r="H27" s="125">
        <f>IF($B6=0,0,(NTD!$D9*NTD!E31+NTD!$D10*NTD!E32+NTD!$B11*NTD!E30)/$B6)</f>
        <v>0</v>
      </c>
      <c r="I27" s="125">
        <f>IF($B6=0,0,(NTD!$D9*NTD!F31+NTD!$D10*NTD!F32+NTD!$B11*NTD!F30)/$B6)</f>
        <v>0</v>
      </c>
      <c r="J27" s="125">
        <f>IF($B6=0,0,(NTD!$D9*NTD!G31+NTD!$D10*NTD!G32+NTD!$B11*NTD!G30)/$B6)</f>
        <v>0</v>
      </c>
      <c r="K27" s="126">
        <f>NTD!$B9+NTD!$B10/NTD!$H32+NTD!$B11/NTD!$H30</f>
        <v>0</v>
      </c>
    </row>
    <row r="28" spans="1:16" s="34" customFormat="1" ht="15" customHeight="1" x14ac:dyDescent="0.25">
      <c r="A28" s="114"/>
      <c r="B28" s="123"/>
      <c r="C28" s="6"/>
      <c r="D28" s="146" t="s">
        <v>115</v>
      </c>
      <c r="E28" s="51">
        <f>SUM(E29:E31)+(1-SUM($D29:$D31))*E27</f>
        <v>0</v>
      </c>
      <c r="F28" s="51">
        <f t="shared" ref="F28:K28" si="2">SUM(F29:F31)+(1-SUM($D29:$D31))*F27</f>
        <v>0</v>
      </c>
      <c r="G28" s="51">
        <f t="shared" si="2"/>
        <v>0</v>
      </c>
      <c r="H28" s="51">
        <f t="shared" si="2"/>
        <v>0</v>
      </c>
      <c r="I28" s="51">
        <f t="shared" si="2"/>
        <v>0</v>
      </c>
      <c r="J28" s="51">
        <f t="shared" si="2"/>
        <v>0</v>
      </c>
      <c r="K28" s="41">
        <f t="shared" si="2"/>
        <v>0</v>
      </c>
    </row>
    <row r="29" spans="1:16" s="34" customFormat="1" ht="15" customHeight="1" x14ac:dyDescent="0.25">
      <c r="A29" s="151" t="s">
        <v>118</v>
      </c>
      <c r="B29" s="153"/>
      <c r="C29" s="152" t="s">
        <v>43</v>
      </c>
      <c r="D29" s="127"/>
      <c r="E29" s="51">
        <f>IF($B6=0,0,SUM(NTD!$D9:'NTD'!$D11)*$D29*NTD!B31/$B6)</f>
        <v>0</v>
      </c>
      <c r="F29" s="51">
        <f>IF($B6=0,0,SUM(NTD!$D9:'NTD'!$D11)*$D29*NTD!C31/$B6)</f>
        <v>0</v>
      </c>
      <c r="G29" s="51">
        <f>IF($B6=0,0,SUM(NTD!$D9:'NTD'!$D11)*$D29*NTD!D31/$B6)</f>
        <v>0</v>
      </c>
      <c r="H29" s="51">
        <f>IF($B6=0,0,SUM(NTD!$D9:'NTD'!$D11)*$D29*NTD!E31/$B6)</f>
        <v>0</v>
      </c>
      <c r="I29" s="51">
        <f>IF($D29=0,0,IF(NTD!$D9=0,SUM(NTD!$D9:'NTD'!$D11)*$D29*NTD!$H31/$B29*0.3/100/7000*453.6*2/$B6,SUM(NTD!$D9:'NTD'!$D11)*$D29*NTD!F31/$B6))</f>
        <v>0</v>
      </c>
      <c r="J29" s="51">
        <f>IF($D29=0,0,IF(NTD!$D9=0,SUM(NTD!$D9:'NTD'!$D11)*$D29*NTD!$H31/$B29*0.0546*1000/$B6,SUM(NTD!$D9:'NTD'!$D11)*$D29*NTD!G31/$B6))</f>
        <v>0</v>
      </c>
      <c r="K29" s="41">
        <f>IF($D29=0,0,IF(NTD!$B9=0,SUM(NTD!$D9:'NTD'!$D11)*$D29/$B29,SUM(NTD!$D9:'NTD'!$D11)*$D29/NTD!$D9*NTD!$B9))</f>
        <v>0</v>
      </c>
    </row>
    <row r="30" spans="1:16" s="34" customFormat="1" ht="15" customHeight="1" thickBot="1" x14ac:dyDescent="0.3">
      <c r="A30" s="151" t="s">
        <v>117</v>
      </c>
      <c r="B30" s="153"/>
      <c r="C30" s="152" t="s">
        <v>41</v>
      </c>
      <c r="D30" s="127"/>
      <c r="E30" s="51">
        <f>IF($B6=0,0,SUM(NTD!$D9:'NTD'!$D11)*$D30*0.86/$B6)</f>
        <v>0</v>
      </c>
      <c r="F30" s="51">
        <f>IF($B6=0,0,SUM(NTD!$D9:'NTD'!$D11)*$D30*NTD!C32/$B6)</f>
        <v>0</v>
      </c>
      <c r="G30" s="51">
        <f>IF($B6=0,0,SUM(NTD!$D9:'NTD'!$D11)*$D30*NTD!D32/$B6)</f>
        <v>0</v>
      </c>
      <c r="H30" s="51">
        <f>IF($B6=0,0,SUM(NTD!$D9:'NTD'!$D11)*$D30*0.0468/$B6)</f>
        <v>0</v>
      </c>
      <c r="I30" s="51">
        <f>IF($D30=0,0,IF(NTD!$D10=0,SUM(NTD!$D9:'NTD'!$D11)*$D30*7.3/$B30*453.6*15/1000000*2/$B6,SUM(NTD!$D9:'NTD'!$D11)*$D30*NTD!F32/$B6))</f>
        <v>0</v>
      </c>
      <c r="J30" s="51">
        <f>IF($D30=0,0,IF(NTD!$D10=0,SUM(NTD!$D9:'NTD'!$D11)*$D30/$B30*10.21*1000/$B6,SUM(NTD!$D9:'NTD'!$D11)*$D30*NTD!G32/$B6))</f>
        <v>0</v>
      </c>
      <c r="K30" s="41">
        <f>IF($D30=0,0,IF(NTD!$B10=0,SUM(NTD!$D9:'NTD'!$D11)*$D30/$B30/NTD!H32,SUM(NTD!$D10:'NTD'!$D12)*$D30/NTD!$D10*NTD!$B10/NTD!H32))</f>
        <v>0</v>
      </c>
    </row>
    <row r="31" spans="1:16" s="34" customFormat="1" ht="15" customHeight="1" x14ac:dyDescent="0.25">
      <c r="A31" s="151" t="s">
        <v>116</v>
      </c>
      <c r="B31" s="153"/>
      <c r="C31" s="152" t="s">
        <v>42</v>
      </c>
      <c r="D31" s="127"/>
      <c r="E31" s="51">
        <f>IF($B6=0,0,IF(NTD!$B11=0,SUM(NTD!$D9:'NTD'!$D11)*$D31*$B31*NTD!B30/$B6,SUM(NTD!$D9:'NTD'!$D11)*$D31*NTD!$B11/NTD!$D11*NTD!B30/$B6))</f>
        <v>0</v>
      </c>
      <c r="F31" s="51">
        <f>IF($B6=0,0,IF(NTD!$B11=0,SUM(NTD!$D9:'NTD'!$D11)*$D31*$B31*NTD!C30/$B6,SUM(NTD!$D9:'NTD'!$D11)*$D31*NTD!$B11/NTD!$D11*NTD!C30/$B6))</f>
        <v>0</v>
      </c>
      <c r="G31" s="51">
        <f>IF($B6=0,0,IF(NTD!$B11=0,SUM(NTD!$D9:'NTD'!$D11)*$D31*$B31*NTD!D30/$B6,SUM(NTD!$D9:'NTD'!$D11)*$D31*NTD!$B11/NTD!$D11*NTD!D30/$B6))</f>
        <v>0</v>
      </c>
      <c r="H31" s="51">
        <f>IF($B6=0,0,IF(NTD!$B11=0,SUM(NTD!$D9:'NTD'!$D11)*$D31*$B31*NTD!E30/$B6,SUM(NTD!$D9:'NTD'!$D11)*$D31*NTD!$B11/NTD!$D11*NTD!E30/$B6))</f>
        <v>0</v>
      </c>
      <c r="I31" s="51">
        <f>IF($D31=0,0,IF(NTD!$B11=0,SUM(NTD!$D9:'NTD'!$D11)*$D31*$B31*NTD!F30/$B6,SUM(NTD!$D9:'NTD'!$D11)*$D31*NTD!$B11/NTD!$D11*NTD!F30/$B6))</f>
        <v>0</v>
      </c>
      <c r="J31" s="51">
        <f>IF($D31=0,0,IF(NTD!$B11=0,SUM(NTD!$D9:'NTD'!$D11)*$D31*$B31*NTD!G30/$B6,SUM(NTD!$D9:'NTD'!$D11)*$D31*NTD!$B11/NTD!$D11*NTD!G30/$B6))</f>
        <v>0</v>
      </c>
      <c r="K31" s="41">
        <f>IF(NTD!$B11=0,SUM(NTD!$D9:'NTD'!$D11)*$D31*$B31/NTD!H30,SUM(NTD!$D9:'NTD'!$D11)*$D31*NTD!$B11/NTD!$D11/NTD!H30)</f>
        <v>0</v>
      </c>
      <c r="M31" s="184" t="str">
        <f>IF(B6=453.6,"Greenhouse Gas Savings From Transit - Pounds",IF(B6=907200,"Greenhouse Gas Savings From Transit - Tons","Greenhouse Gas Savings From Transit"))</f>
        <v>Greenhouse Gas Savings From Transit</v>
      </c>
      <c r="N31" s="171"/>
      <c r="O31" s="171"/>
      <c r="P31" s="172"/>
    </row>
    <row r="32" spans="1:16" s="34" customFormat="1" ht="15" customHeight="1" x14ac:dyDescent="0.25">
      <c r="A32" s="114"/>
      <c r="B32" s="38" t="s">
        <v>34</v>
      </c>
      <c r="C32" s="6"/>
      <c r="D32" s="144" t="s">
        <v>114</v>
      </c>
      <c r="E32" s="55">
        <f>IF($B5=0,0,IF($B6=0,0,SUM(NTD!$E9:'NTD'!$E11)*$B2*NTD!B36/$B6+$B3*SUM(NTD!$C9:'NTD'!$C11)/SUM(NTD!$C3:'NTD'!$C19)*$B2/0.8/NTD!$H36*NTD!B36/$B6+SUM(NTD!$E9:'NTD'!$E11)/$B5*NTD!B36*$B4/$B6))</f>
        <v>0</v>
      </c>
      <c r="F32" s="55">
        <f>IF($B5=0,0,IF($B6=0,0,SUM(NTD!$E9:'NTD'!$E11)*$B2*NTD!C36/$B6+$B3*SUM(NTD!$C9:'NTD'!$C11)/SUM(NTD!$C3:'NTD'!$C19)*$B2/0.8/NTD!$H36*NTD!C36/$B6+SUM(NTD!$E9:'NTD'!$E11)/$B5*NTD!C36*$B4/$B6))</f>
        <v>0</v>
      </c>
      <c r="G32" s="55">
        <f>IF($B5=0,0,IF($B6=0,0,SUM(NTD!$E9:'NTD'!$E11)*$B2*NTD!D36/$B6+$B3*SUM(NTD!$C9:'NTD'!$C11)/SUM(NTD!$C3:'NTD'!$C19)*$B2/0.8/NTD!$H36*NTD!D36/$B6+SUM(NTD!$E9:'NTD'!$E11)/$B5*NTD!D36*$B4/$B6))</f>
        <v>0</v>
      </c>
      <c r="H32" s="55">
        <f>IF($B5=0,0,IF($B6=0,0,SUM(NTD!$E9:'NTD'!$E11)*$B2*NTD!E36/$B6+$B3*SUM(NTD!$C9:'NTD'!$C11)/SUM(NTD!$C3:'NTD'!$C19)*$B2/0.8/NTD!$H36*NTD!E36/$B6+SUM(NTD!$E9:'NTD'!$E11)/$B5*NTD!E36*$B4/$B6))</f>
        <v>0</v>
      </c>
      <c r="I32" s="55">
        <f>IF($B5=0,0,IF($B6=0,0,SUM(NTD!$E9:'NTD'!$E11)*$B2*NTD!F36/$B6+$B3*SUM(NTD!$C9:'NTD'!$C11)/SUM(NTD!$C3:$C19)*$B2/0.8/NTD!$H36*NTD!F36/$B6+SUM(NTD!$E9:'NTD'!$E11)/$B5*NTD!F36*$B4/$B6))</f>
        <v>0</v>
      </c>
      <c r="J32" s="55">
        <f>IF($B5=0,0,IF($B6=0,0,SUM(NTD!$E9:'NTD'!$E11)*$B2*NTD!G36/$B6+$B3*SUM(NTD!$C9:'NTD'!$C11)/SUM(NTD!$C3:$C19)*$B2/0.8/NTD!$H36*NTD!G36/$B6+SUM(NTD!$E9:'NTD'!$E11)/$B5*NTD!G36*$B4/$B6))</f>
        <v>0</v>
      </c>
      <c r="K32" s="56">
        <f>IF($B5=0,0,SUM(NTD!$E9:'NTD'!$E11)*$B2*NTD!H36+$B3*SUM(NTD!$C9:'NTD'!$C11)/SUM(NTD!$C3:'NTD'!$C19)+SUM(NTD!$E9:'NTD'!$E11)/$B5*NTD!H36*$B4)</f>
        <v>0</v>
      </c>
      <c r="M32" s="43" t="s">
        <v>38</v>
      </c>
      <c r="N32" s="42" t="s">
        <v>104</v>
      </c>
      <c r="O32" s="42" t="s">
        <v>39</v>
      </c>
      <c r="P32" s="44" t="s">
        <v>46</v>
      </c>
    </row>
    <row r="33" spans="1:16" s="34" customFormat="1" ht="15" customHeight="1" thickBot="1" x14ac:dyDescent="0.3">
      <c r="A33" s="115"/>
      <c r="B33" s="122" t="s">
        <v>101</v>
      </c>
      <c r="C33" s="6"/>
      <c r="D33" s="128"/>
      <c r="E33" s="61">
        <f>IF($B5=0,0,IF($B6=0,0,(SUM(NTD!$E9:'NTD'!$E11)+SUM(NTD!$E9:'NTD'!$E11)*$D33)*$B2*NTD!B36/$B6+$B3*SUM(NTD!$C9:'NTD'!$C11)/SUM(NTD!$C3:'NTD'!$C19)*$B2/0.8/NTD!$H36*NTD!B36/$B6+(SUM(NTD!$E9:'NTD'!$E11)+SUM(NTD!$E9:'NTD'!$E11)*$D33)/$B5*NTD!B36*$B4/$B6))</f>
        <v>0</v>
      </c>
      <c r="F33" s="61">
        <f>IF($B5=0,0,IF($B6=0,0,(SUM(NTD!$E9:'NTD'!$E11)+SUM(NTD!$E9:'NTD'!$E11)*$D33)*$B2*NTD!C36/$B6+$B3*SUM(NTD!$C9:'NTD'!$C11)/SUM(NTD!$C3:'NTD'!$C19)*$B2/0.8/NTD!$H36*NTD!C36/$B6+(SUM(NTD!$E9:'NTD'!$E11)+SUM(NTD!$E9:'NTD'!$E11)*$D33)/$B5*NTD!C36*$B4/$B6))</f>
        <v>0</v>
      </c>
      <c r="G33" s="61">
        <f>IF($B5=0,0,IF($B6=0,0,(SUM(NTD!$E9:'NTD'!$E11)+SUM(NTD!$E9:'NTD'!$E11)*$D33)*$B2*NTD!D36/$B6+$B3*SUM(NTD!$C9:'NTD'!$C11)/SUM(NTD!$C3:$C19)*$B2/0.8/NTD!$H36*NTD!D36/$B6+(SUM(NTD!$E9:'NTD'!$E11)+SUM(NTD!$E9:'NTD'!$E11)*$D33)/$B5*NTD!D36*$B4/$B6))</f>
        <v>0</v>
      </c>
      <c r="H33" s="61">
        <f>IF($B5=0,0,IF($B6=0,0,(SUM(NTD!$E9:'NTD'!$E11)+SUM(NTD!$E9:'NTD'!$E11)*$D33)*$B2*NTD!E36/$B6+$B3*SUM(NTD!$C9:'NTD'!$C11)/SUM(NTD!$C3:$C19)*$B2/0.8/NTD!$H36*NTD!E36/$B6+(SUM(NTD!$E9:'NTD'!$E11)+SUM(NTD!$E9:'NTD'!$E11)*$D33)/$B5*NTD!E36*$B4/$B6))</f>
        <v>0</v>
      </c>
      <c r="I33" s="61">
        <f>IF($B5=0,0,IF($B6=0,0,(SUM(NTD!$E9:'NTD'!$E11)+SUM(NTD!$E9:'NTD'!$E11)*$D33)*$B2*NTD!F36/$B6+$B3*SUM(NTD!$C9:'NTD'!$C11)/SUM(NTD!$C3:$C19)*$B2/0.8/NTD!$H36*NTD!F36/$B6+(SUM(NTD!$E9:'NTD'!$E11)+SUM(NTD!$E9:'NTD'!$E11)*$D33)/$B5*NTD!F36*$B4/$B6))</f>
        <v>0</v>
      </c>
      <c r="J33" s="61">
        <f>IF($B5=0,0,IF($B6=0,0,(SUM(NTD!$E9:'NTD'!$E11)+SUM(NTD!$E9:'NTD'!$E11)*$D33)*$B2*NTD!G36/$B6+$B3*SUM(NTD!$C9:'NTD'!$C11)/SUM(NTD!$C3:$C19)*$B2/0.8/NTD!$H36*NTD!G36/$B6+(SUM(NTD!$E9:'NTD'!$E11)+SUM(NTD!$E9:'NTD'!$E11)*$D33)/$B5*NTD!G36*$B4/$B6))</f>
        <v>0</v>
      </c>
      <c r="K33" s="62">
        <f>IF($B5=0,0,(SUM(NTD!$E9:'NTD'!$E11)+SUM(NTD!$E9:'NTD'!$E11)*$D33)*$B2*NTD!H36+$B3*SUM(NTD!$C9:'NTD'!$C11)/SUM(NTD!$C3:'NTD'!$C19)+(SUM(NTD!$E9:'NTD'!$E11)+SUM(NTD!$E9:'NTD'!$E11)*$D33)/$B5*NTD!H36*$B4)</f>
        <v>0</v>
      </c>
      <c r="M33" s="46">
        <f>-J2</f>
        <v>0</v>
      </c>
      <c r="N33" s="47">
        <f>-J3</f>
        <v>0</v>
      </c>
      <c r="O33" s="131">
        <f>J4</f>
        <v>0</v>
      </c>
      <c r="P33" s="48">
        <f>J5</f>
        <v>0</v>
      </c>
    </row>
    <row r="34" spans="1:16" s="34" customFormat="1" ht="15" customHeight="1" x14ac:dyDescent="0.25">
      <c r="A34" s="116" t="s">
        <v>107</v>
      </c>
      <c r="B34" s="121">
        <f>NTD!B1</f>
        <v>0</v>
      </c>
      <c r="C34" s="6"/>
      <c r="D34" s="145" t="s">
        <v>103</v>
      </c>
      <c r="E34" s="125">
        <f>IF($B6=0,0,(NTD!$D12*NTD!B31+NTD!$D13*NTD!B32+NTD!$B14*NTD!B30)/$B6)</f>
        <v>0</v>
      </c>
      <c r="F34" s="125">
        <f>IF($B6=0,0,(NTD!$D12*NTD!C31+NTD!$D13*NTD!C32+NTD!$B14*NTD!C30)/$B6)</f>
        <v>0</v>
      </c>
      <c r="G34" s="125">
        <f>IF($B6=0,0,(NTD!$D12*NTD!D31+NTD!$D13*NTD!D32+NTD!$B14*NTD!D30)/$B6)</f>
        <v>0</v>
      </c>
      <c r="H34" s="125">
        <f>IF($B6=0,0,(NTD!$D12*NTD!E31+NTD!$D13*NTD!E32+NTD!$B14*NTD!E30)/$B6)</f>
        <v>0</v>
      </c>
      <c r="I34" s="125">
        <f>IF($B6=0,0,(NTD!$D12*NTD!F31+NTD!$D13*NTD!F32+NTD!$B14*NTD!F30)/$B6)</f>
        <v>0</v>
      </c>
      <c r="J34" s="125">
        <f>IF($B6=0,0,(NTD!$D12*NTD!G31+NTD!$D13*NTD!G32+NTD!$B14*NTD!G30)/$B6)</f>
        <v>0</v>
      </c>
      <c r="K34" s="126">
        <f>NTD!$B12+NTD!$B13/NTD!$H32+NTD!$B14/NTD!$H30</f>
        <v>0</v>
      </c>
    </row>
    <row r="35" spans="1:16" s="34" customFormat="1" ht="15" customHeight="1" x14ac:dyDescent="0.25">
      <c r="A35" s="114"/>
      <c r="B35" s="123"/>
      <c r="C35" s="6"/>
      <c r="D35" s="146" t="s">
        <v>115</v>
      </c>
      <c r="E35" s="51">
        <f>SUM(E36:E38)+(1-SUM($D36:$D38))*E34</f>
        <v>0</v>
      </c>
      <c r="F35" s="51">
        <f t="shared" ref="F35:K35" si="3">SUM(F36:F38)+(1-SUM($D36:$D38))*F34</f>
        <v>0</v>
      </c>
      <c r="G35" s="51">
        <f t="shared" si="3"/>
        <v>0</v>
      </c>
      <c r="H35" s="51">
        <f t="shared" si="3"/>
        <v>0</v>
      </c>
      <c r="I35" s="51">
        <f t="shared" si="3"/>
        <v>0</v>
      </c>
      <c r="J35" s="51">
        <f t="shared" si="3"/>
        <v>0</v>
      </c>
      <c r="K35" s="51">
        <f t="shared" si="3"/>
        <v>0</v>
      </c>
    </row>
    <row r="36" spans="1:16" s="34" customFormat="1" ht="15" customHeight="1" x14ac:dyDescent="0.25">
      <c r="A36" s="151" t="s">
        <v>118</v>
      </c>
      <c r="B36" s="153"/>
      <c r="C36" s="152" t="s">
        <v>43</v>
      </c>
      <c r="D36" s="127"/>
      <c r="E36" s="51">
        <f>IF($B6=0,0,SUM(NTD!$D12:'NTD'!$D14)*$D36*NTD!B31/$B6)</f>
        <v>0</v>
      </c>
      <c r="F36" s="51">
        <f>IF($B6=0,0,SUM(NTD!$D12:'NTD'!$D14)*$D36*NTD!C31/$B6)</f>
        <v>0</v>
      </c>
      <c r="G36" s="51">
        <f>IF($B6=0,0,SUM(NTD!$D12:'NTD'!$D14)*$D36*NTD!D31/$B6)</f>
        <v>0</v>
      </c>
      <c r="H36" s="51">
        <f>IF($B6=0,0,SUM(NTD!$D12:'NTD'!$D14)*$D36*NTD!E31/$B6)</f>
        <v>0</v>
      </c>
      <c r="I36" s="51">
        <f>IF($D36=0,0,IF(NTD!$D12=0,SUM(NTD!$D12:'NTD'!$D14)*$D36*NTD!$H31/$B36*0.3/100/7000*453.6*2/$B6,SUM(NTD!$D12:'NTD'!$D14)*$D36*NTD!F31/$B6))</f>
        <v>0</v>
      </c>
      <c r="J36" s="51">
        <f>IF($D36=0,0,IF(NTD!$D12=0,SUM(NTD!$D12:'NTD'!$D14)*$D36*NTD!$H31/$B36*0.0546*1000/$B6,SUM(NTD!$D12:'NTD'!$D14)*$D36*NTD!G31/$B6))</f>
        <v>0</v>
      </c>
      <c r="K36" s="41">
        <f>IF($D36=0,0,IF(NTD!$B12=0,SUM(NTD!$D12:'NTD'!$D14)*$D36/$B36,SUM(NTD!$D12:'NTD'!$D14)*$D36/NTD!$D12*NTD!$B12))</f>
        <v>0</v>
      </c>
    </row>
    <row r="37" spans="1:16" s="34" customFormat="1" ht="15" customHeight="1" x14ac:dyDescent="0.25">
      <c r="A37" s="151" t="s">
        <v>117</v>
      </c>
      <c r="B37" s="153"/>
      <c r="C37" s="152" t="s">
        <v>41</v>
      </c>
      <c r="D37" s="127"/>
      <c r="E37" s="51">
        <f>IF($B6=0,0,SUM(NTD!$D12:'NTD'!$D14)*$D37*0.86/$B6)</f>
        <v>0</v>
      </c>
      <c r="F37" s="51">
        <f>IF($B6=0,0,SUM(NTD!$D12:'NTD'!$D14)*$D37*NTD!C31/$B6)</f>
        <v>0</v>
      </c>
      <c r="G37" s="51">
        <f>IF($B6=0,0,SUM(NTD!$D12:'NTD'!$D14)*$D37*NTD!D31/$B6)</f>
        <v>0</v>
      </c>
      <c r="H37" s="51">
        <f>IF($B6=0,0,SUM(NTD!$D12:'NTD'!$D14)*$D37*0.0468/$B6)</f>
        <v>0</v>
      </c>
      <c r="I37" s="51">
        <f>IF($D37=0,0,IF(NTD!$D13=0,SUM(NTD!$D12:'NTD'!$D14)*$D37*7.3/$B37*453.6*15/1000000*2/$B6,SUM(NTD!$D12:'NTD'!$D14)*$D37*NTD!F32/$B6))</f>
        <v>0</v>
      </c>
      <c r="J37" s="51">
        <f>IF($D37=0,0,IF(NTD!$D13=0,SUM(NTD!$D12:'NTD'!$D14)*$D37/$B37*10.21*1000/$B6,SUM(NTD!$D12:'NTD'!$D14)*$D37*NTD!G32/$B6))</f>
        <v>0</v>
      </c>
      <c r="K37" s="41">
        <f>IF($D37=0,0,IF(NTD!$B13=0,SUM(NTD!$D12:'NTD'!$D14)*$D37/$B37/NTD!H32,SUM(NTD!$D12:'NTD'!$D14)*$D37/NTD!$D13*NTD!$B13/NTD!H32))</f>
        <v>0</v>
      </c>
    </row>
    <row r="38" spans="1:16" s="34" customFormat="1" ht="15" customHeight="1" x14ac:dyDescent="0.25">
      <c r="A38" s="151" t="s">
        <v>116</v>
      </c>
      <c r="B38" s="153"/>
      <c r="C38" s="152" t="s">
        <v>42</v>
      </c>
      <c r="D38" s="127"/>
      <c r="E38" s="51">
        <f>IF($B6=0,0,IF(NTD!$B14=0,SUM(NTD!$D12:'NTD'!$D14)*$D38*$B38*NTD!B30/$B6,SUM(NTD!$D12:'NTD'!$D14)*$D38*NTD!$B14/NTD!$D14*NTD!B30/$B6))</f>
        <v>0</v>
      </c>
      <c r="F38" s="51">
        <f>IF($B6=0,0,IF(NTD!$B14=0,SUM(NTD!$D12:'NTD'!$D14)*$D38*$B38*NTD!C30/$B6,SUM(NTD!$D12:'NTD'!$D14)*$D38*NTD!$B14/NTD!$D14*NTD!C30/$B6))</f>
        <v>0</v>
      </c>
      <c r="G38" s="51">
        <f>IF($B6=0,0,IF(NTD!$B14=0,SUM(NTD!$D12:'NTD'!$D14)*$D38*$B38*NTD!D30/$B6,SUM(NTD!$D12:'NTD'!$D14)*$D38*NTD!$B14/NTD!$D14*NTD!D30/$B6))</f>
        <v>0</v>
      </c>
      <c r="H38" s="51">
        <f>IF($B6=0,0,IF(NTD!$B14=0,SUM(NTD!$D12:'NTD'!$D14)*$D38*$B38*NTD!E30/$B6,SUM(NTD!$D12:'NTD'!$D14)*$D38*NTD!$B14/NTD!$D14*NTD!E30/$B6))</f>
        <v>0</v>
      </c>
      <c r="I38" s="51">
        <f>IF($D38=0,0,IF(NTD!$B14=0,SUM(NTD!$D12:'NTD'!$D14)*$D38*$B38*NTD!F30/$B6,SUM(NTD!$D12:'NTD'!$D14)*$D38*NTD!$B14/NTD!$D14*NTD!F30/$B6))</f>
        <v>0</v>
      </c>
      <c r="J38" s="51">
        <f>IF($D38=0,0,IF(NTD!$B14=0,SUM(NTD!$D12:'NTD'!$D14)*$D38*$B38*NTD!G30/$B6,SUM(NTD!$D12:'NTD'!$D14)*$D38*NTD!$B14/NTD!$D14*NTD!G30/$B6))</f>
        <v>0</v>
      </c>
      <c r="K38" s="41">
        <f>IF(NTD!$B14=0,SUM(NTD!$D12:'NTD'!$D14)*$D38*$B38/NTD!H30,SUM(NTD!$D12:'NTD'!$D14)*$D38*NTD!$B14/NTD!$D14/NTD!H30)</f>
        <v>0</v>
      </c>
    </row>
    <row r="39" spans="1:16" s="34" customFormat="1" ht="15" customHeight="1" x14ac:dyDescent="0.25">
      <c r="A39" s="114"/>
      <c r="B39" s="38" t="s">
        <v>34</v>
      </c>
      <c r="C39" s="6"/>
      <c r="D39" s="144" t="s">
        <v>114</v>
      </c>
      <c r="E39" s="55">
        <f>IF($B5=0,0,IF($B6=0,0,SUM(NTD!$E12:'NTD'!$E14)*$B2*NTD!B36/$B6+$B3*SUM(NTD!$C12:'NTD'!$C14)/SUM(NTD!$C3:'NTD'!$C19)*$B2/0.8/NTD!$H36*NTD!B36/$B6+SUM(NTD!$E12:'NTD'!$E14)/$B5*NTD!B36*$B4/$B6))</f>
        <v>0</v>
      </c>
      <c r="F39" s="55">
        <f>IF($B5=0,0,IF($B6=0,0,SUM(NTD!$E12:'NTD'!$E14)*$B2*NTD!C36/$B6+$B3*SUM(NTD!$C12:'NTD'!$C14)/SUM(NTD!$C3:'NTD'!$C19)*$B2/0.8/NTD!$H36*NTD!C36/$B6+SUM(NTD!$E12:'NTD'!$E14)/$B5*NTD!C36*$B4/$B6))</f>
        <v>0</v>
      </c>
      <c r="G39" s="55">
        <f>IF($B5=0,0,IF($B6=0,0,SUM(NTD!$E12:'NTD'!$E14)*$B2*NTD!D36/$B6+$B3*SUM(NTD!$C12:'NTD'!$C14)/SUM(NTD!$C3:'NTD'!$C19)*$B2/0.8/NTD!$H36*NTD!D36/$B6+SUM(NTD!$E12:'NTD'!$E14)/$B5*NTD!D36*$B4/$B6))</f>
        <v>0</v>
      </c>
      <c r="H39" s="55">
        <f>IF($B5=0,0,IF($B6=0,0,SUM(NTD!$E12:'NTD'!$E14)*$B2*NTD!E36/$B6+$B3*SUM(NTD!$C12:'NTD'!$C14)/SUM(NTD!$C3:'NTD'!$C19)*$B2/0.8/NTD!$H36*NTD!E36/$B6+SUM(NTD!$E12:'NTD'!$E14)/$B5*NTD!E36*$B4/$B6))</f>
        <v>0</v>
      </c>
      <c r="I39" s="55">
        <f>IF($B5=0,0,IF($B6=0,0,SUM(NTD!$E12:'NTD'!$E14)*$B2*NTD!F36/$B6+$B3*SUM(NTD!$C12:'NTD'!$C14)/SUM(NTD!$C3:'NTD'!$C19)*$B2/0.8/NTD!$H36*NTD!F36/$B6+SUM(NTD!$E12:'NTD'!$E14)/$B5*NTD!F36*$B4/$B6))</f>
        <v>0</v>
      </c>
      <c r="J39" s="55">
        <f>IF($B5=0,0,IF($B6=0,0,SUM(NTD!$E12:'NTD'!$E14)*$B2*NTD!G36/$B6+$B3*SUM(NTD!$C12:'NTD'!$C14)/SUM(NTD!$C3:'NTD'!$C19)*$B2/0.8/NTD!$H36*NTD!G36/$B6+SUM(NTD!$E12:'NTD'!$E14)/$B5*NTD!G36*$B4/$B6))</f>
        <v>0</v>
      </c>
      <c r="K39" s="56">
        <f>IF($B5=0,0,SUM(NTD!$E12:'NTD'!$E14)*$B2*NTD!H36+$B3*SUM(NTD!$C12:'NTD'!$C14)/SUM(NTD!$C3:'NTD'!$C19)+SUM(NTD!$E12:'NTD'!$E14)/$B5*NTD!H36*$B4)</f>
        <v>0</v>
      </c>
    </row>
    <row r="40" spans="1:16" s="34" customFormat="1" ht="15" customHeight="1" thickBot="1" x14ac:dyDescent="0.3">
      <c r="A40" s="115"/>
      <c r="B40" s="122" t="s">
        <v>101</v>
      </c>
      <c r="C40" s="6"/>
      <c r="D40" s="128"/>
      <c r="E40" s="61">
        <f>IF($B5=0,0,IF($B6=0,0,(SUM(NTD!$E12:'NTD'!$E14)+SUM(NTD!$E12:'NTD'!$E14)*$D40)*$B2*NTD!B36/$B6+$B3*SUM(NTD!$C12:'NTD'!$C14)/SUM(NTD!$C3:'NTD'!$C19)*$B2/0.8/NTD!$H36*NTD!B36/$B6+(SUM(NTD!$E12:'NTD'!$E14)+SUM(NTD!$E12:'NTD'!$E14)*$D40)/$B5*NTD!B36*$B4/$B6))</f>
        <v>0</v>
      </c>
      <c r="F40" s="61">
        <f>IF($B5=0,0,IF($B6=0,0,(SUM(NTD!$E12:'NTD'!$E14)+SUM(NTD!$E12:'NTD'!$E14)*$D40)*$B2*NTD!C36/$B6+$B3*SUM(NTD!$C12:'NTD'!$C14)/SUM(NTD!$C3:'NTD'!$C19)*$B2/0.8/NTD!$H36*NTD!C36/$B6+(SUM(NTD!$E12:'NTD'!$E14)+SUM(NTD!$E12:'NTD'!$E14)*$D40)/$B5*NTD!C36*$B4/$B6))</f>
        <v>0</v>
      </c>
      <c r="G40" s="61">
        <f>IF($B5=0,0,IF($B6=0,0,(SUM(NTD!$E12:'NTD'!$E14)+SUM(NTD!$E12:'NTD'!$E14)*$D40)*$B2*NTD!D36/$B6+$B3*SUM(NTD!$C12:'NTD'!$C14)/SUM(NTD!$C3:'NTD'!$C19)*$B2/0.8/NTD!$H36*NTD!D36/$B6+(SUM(NTD!$E12:'NTD'!$E14)+SUM(NTD!$E12:'NTD'!$E14)*$D40)/$B5*NTD!D36*$B4/$B6))</f>
        <v>0</v>
      </c>
      <c r="H40" s="61">
        <f>IF($B5=0,0,IF($B6=0,0,(SUM(NTD!$E12:'NTD'!$E14)+SUM(NTD!$E12:'NTD'!$E14)*$D40)*$B2*NTD!E36/$B6+$B3*SUM(NTD!$C12:'NTD'!$C14)/SUM(NTD!$C3:'NTD'!$C19)*$B2/0.8/NTD!$H36*NTD!E36/$B6+(SUM(NTD!$E12:'NTD'!$E14)+SUM(NTD!$E12:'NTD'!$E14)*$D40)/$B5*NTD!E36*$B4/$B6))</f>
        <v>0</v>
      </c>
      <c r="I40" s="61">
        <f>IF($B5=0,0,IF($B6=0,0,(SUM(NTD!$E12:'NTD'!$E14)+SUM(NTD!$E12:'NTD'!$E14)*$D40)*$B2*NTD!F36/$B6+$B3*SUM(NTD!$C12:'NTD'!$C14)/SUM(NTD!$C3:'NTD'!$C19)*$B2/0.8/NTD!$H36*NTD!F36/$B6+(SUM(NTD!$E12:'NTD'!$E14)+SUM(NTD!$E12:'NTD'!$E14)*$D40)/$B5*NTD!F36*$B4/$B6))</f>
        <v>0</v>
      </c>
      <c r="J40" s="61">
        <f>IF($B5=0,0,IF($B6=0,0,(SUM(NTD!$E12:'NTD'!$E14)+SUM(NTD!$E12:'NTD'!$E14)*$D40)*$B2*NTD!G36/$B6+$B3*SUM(NTD!$C12:'NTD'!$C14)/SUM(NTD!$C3:'NTD'!$C19)*$B2/0.8/NTD!$H36*NTD!G36/$B6+(SUM(NTD!$E12:'NTD'!$E14)+SUM(NTD!$E12:'NTD'!$E14)*$D40)/$B5*NTD!G36*$B4/$B6))</f>
        <v>0</v>
      </c>
      <c r="K40" s="62">
        <f>IF($B5=0,0,(SUM(NTD!$E12:'NTD'!$E14)+SUM(NTD!$E12:'NTD'!$E14)*$D40)*$B2*NTD!H36+$B3*SUM(NTD!$C12:'NTD'!$C14)/SUM(NTD!$C3:'NTD'!$C19)+(SUM(NTD!$E12:'NTD'!$E14)+SUM(NTD!$E12:'NTD'!$E14)*$D40)/$B5*NTD!H36*$B4)</f>
        <v>0</v>
      </c>
    </row>
    <row r="41" spans="1:16" ht="15" customHeight="1" x14ac:dyDescent="0.25">
      <c r="A41" s="116" t="s">
        <v>102</v>
      </c>
      <c r="B41" s="121">
        <f>NTD!B1</f>
        <v>0</v>
      </c>
      <c r="C41" s="21"/>
      <c r="D41" s="145" t="s">
        <v>103</v>
      </c>
      <c r="E41" s="51">
        <f>IF($B6=0,0,(NTD!$D15*NTD!B31+NTD!$D16*NTD!B32)/$B6)</f>
        <v>0</v>
      </c>
      <c r="F41" s="51">
        <f>IF($B6=0,0,(NTD!$D15*NTD!C31+NTD!$D16*NTD!C32)/$B6)</f>
        <v>0</v>
      </c>
      <c r="G41" s="51">
        <f>IF($B6=0,0,(NTD!$D15*NTD!D31+NTD!$D16*NTD!D32)/$B6)</f>
        <v>0</v>
      </c>
      <c r="H41" s="51">
        <f>IF($B6=0,0,(NTD!$D15*NTD!E31+NTD!$D16*NTD!E32)/$B6)</f>
        <v>0</v>
      </c>
      <c r="I41" s="51">
        <f>IF($B6=0,0,(NTD!$D15*NTD!F31+NTD!$D16*NTD!F32)/$B6)</f>
        <v>0</v>
      </c>
      <c r="J41" s="51">
        <f>IF($B6=0,0,(NTD!$D15*NTD!G31+NTD!$D16*NTD!G32)/$B6)</f>
        <v>0</v>
      </c>
      <c r="K41" s="41">
        <f>IF($B6=0,0,NTD!B15+NTD!B16/NTD!H32)</f>
        <v>0</v>
      </c>
    </row>
    <row r="42" spans="1:16" s="34" customFormat="1" ht="15" customHeight="1" x14ac:dyDescent="0.25">
      <c r="A42" s="114"/>
      <c r="B42" s="123"/>
      <c r="C42" s="21"/>
      <c r="D42" s="146" t="s">
        <v>115</v>
      </c>
      <c r="E42" s="51">
        <f>SUM(E43:E44)+(1-SUM($D43:$D44))*E41</f>
        <v>0</v>
      </c>
      <c r="F42" s="51">
        <f t="shared" ref="F42:K42" si="4">SUM(F43:F44)+(1-SUM($D43:$D44))*F41</f>
        <v>0</v>
      </c>
      <c r="G42" s="51">
        <f t="shared" si="4"/>
        <v>0</v>
      </c>
      <c r="H42" s="51">
        <f t="shared" si="4"/>
        <v>0</v>
      </c>
      <c r="I42" s="51">
        <f t="shared" si="4"/>
        <v>0</v>
      </c>
      <c r="J42" s="51">
        <f t="shared" si="4"/>
        <v>0</v>
      </c>
      <c r="K42" s="51">
        <f t="shared" si="4"/>
        <v>0</v>
      </c>
    </row>
    <row r="43" spans="1:16" s="34" customFormat="1" ht="15" customHeight="1" x14ac:dyDescent="0.25">
      <c r="A43" s="151" t="s">
        <v>118</v>
      </c>
      <c r="B43" s="153"/>
      <c r="C43" s="152" t="s">
        <v>43</v>
      </c>
      <c r="D43" s="127"/>
      <c r="E43" s="51">
        <f>IF($B6=0,0,SUM(NTD!$D15:'NTD'!$D16)*$D43*NTD!B38/$B6)</f>
        <v>0</v>
      </c>
      <c r="F43" s="51">
        <f>IF($B6=0,0,SUM(NTD!$D15:'NTD'!$D16)*$D43*NTD!C38/$B6)</f>
        <v>0</v>
      </c>
      <c r="G43" s="51">
        <f>IF($B6=0,0,SUM(NTD!$D15:'NTD'!$D16)*$D43*NTD!D38/$B6)</f>
        <v>0</v>
      </c>
      <c r="H43" s="51">
        <f>IF($B6=0,0,SUM(NTD!$D15:'NTD'!$D16)*$D43*NTD!E38/$B6)</f>
        <v>0</v>
      </c>
      <c r="I43" s="51">
        <f>IF($D43=0,0,IF(NTD!$D15=0,SUM(NTD!$D15:'NTD'!$D16)*$D43*NTD!$H31/$B43*0.3/100/7000*453.6*2/$B6,SUM(NTD!$D15:'NTD'!$D16)*$D43*NTD!F31/$B6))</f>
        <v>0</v>
      </c>
      <c r="J43" s="51">
        <f>IF($D43=0,0,IF(NTD!$D15=0,SUM(NTD!$D15:'NTD'!$D16)*$D43*NTD!$H31/$B43*0.0546*1000/$B6,SUM(NTD!$D15:'NTD'!$D16)*$D43*NTD!G31/$B6))</f>
        <v>0</v>
      </c>
      <c r="K43" s="41">
        <f>IF($D43=0,0,IF(NTD!$B15=0,SUM(NTD!$D15:'NTD'!$D16)*$D43/$B43,SUM(NTD!$D15:'NTD'!$D16)*$D43/NTD!$D15*NTD!$B15))</f>
        <v>0</v>
      </c>
    </row>
    <row r="44" spans="1:16" s="34" customFormat="1" ht="15" customHeight="1" x14ac:dyDescent="0.25">
      <c r="A44" s="151" t="s">
        <v>117</v>
      </c>
      <c r="B44" s="153"/>
      <c r="C44" s="152" t="s">
        <v>41</v>
      </c>
      <c r="D44" s="127"/>
      <c r="E44" s="51">
        <f>IF($B6=0,0,SUM(NTD!$D15:'NTD'!$D16)*$D44*0.86/$B6)</f>
        <v>0</v>
      </c>
      <c r="F44" s="51">
        <f>IF($B6=0,0,SUM(NTD!$D15:'NTD'!$D16)*$D44*NTD!C32/$B6)</f>
        <v>0</v>
      </c>
      <c r="G44" s="51">
        <f>IF($B6=0,0,SUM(NTD!$D15:'NTD'!$D16)*$D44*NTD!D32/$B6)</f>
        <v>0</v>
      </c>
      <c r="H44" s="51">
        <f>IF($B6=0,0,SUM(NTD!$D15:'NTD'!$D16)*$D44*0.0468/$B6)</f>
        <v>0</v>
      </c>
      <c r="I44" s="51">
        <f>IF($D44=0,0,IF(NTD!$D16=0,SUM(NTD!$D15:'NTD'!$D16)*$D44*7.3/$B44*453.6*15/1000000*2/$B6,SUM(NTD!$D15:'NTD'!$D16)*$D44*NTD!F32/$B6))</f>
        <v>0</v>
      </c>
      <c r="J44" s="51">
        <f>IF($D44=0,0,IF(NTD!$D16=0,SUM(NTD!$D15:'NTD'!$D16)*$D44/$B44*10.21*1000/$B6,SUM(NTD!$D15:'NTD'!$D16)*$D44*NTD!G32/$B6))</f>
        <v>0</v>
      </c>
      <c r="K44" s="41">
        <f>IF($D44=0,0,IF(NTD!$B16=0,SUM(NTD!$D15:'NTD'!$D16)*$D44/$B44/NTD!H32,SUM(NTD!$D15:'NTD'!$D16)*$D44/NTD!$D16*NTD!$B16/NTD!H32))</f>
        <v>0</v>
      </c>
    </row>
    <row r="45" spans="1:16" s="34" customFormat="1" ht="15" customHeight="1" x14ac:dyDescent="0.25">
      <c r="A45" s="114"/>
      <c r="B45" s="38" t="s">
        <v>34</v>
      </c>
      <c r="C45" s="6"/>
      <c r="D45" s="144" t="s">
        <v>114</v>
      </c>
      <c r="E45" s="55">
        <f>IF($B5=0,0,IF($B6=0,0,(NTD!$E15+NTD!$E16)*$B2*NTD!B36/$B6+$B3*(NTD!$C15+NTD!$C16)/SUM(NTD!$C3:$C19)*$B2/0.8/NTD!$H36*NTD!B36/$B6+(NTD!$E15+NTD!$E16)/$B5*NTD!B36*$B4/$B6))</f>
        <v>0</v>
      </c>
      <c r="F45" s="55">
        <f>IF($B5=0,0,IF($B6=0,0,(NTD!$E15+NTD!$E16)*$B2*NTD!C36/$B6+$B3*(NTD!$C15+NTD!$C16)/SUM(NTD!$C3:$C19)*$B2/0.8/NTD!$H36*NTD!C36/$B6+(NTD!$E15+NTD!$E16)/$B5*NTD!C36*$B4/$B6))</f>
        <v>0</v>
      </c>
      <c r="G45" s="55">
        <f>IF($B5=0,0,IF($B6=0,0,(NTD!$E15+NTD!$E16)*$B2*NTD!D36/$B6+$B3*(NTD!$C15+NTD!$C16)/SUM(NTD!$C3:$C19)*$B2/0.8/NTD!$H36*NTD!D36/$B6+(NTD!$E15+NTD!$E16)/$B5*NTD!D36*$B4/$B6))</f>
        <v>0</v>
      </c>
      <c r="H45" s="55">
        <f>IF($B5=0,0,IF($B6=0,0,(NTD!$E15+NTD!$E16)*$B2*NTD!E36/$B6+$B3*(NTD!$C15+NTD!$C16)/SUM(NTD!$C3:$C19)*$B2/0.8/NTD!$H36*NTD!E36/$B6+(NTD!$E15+NTD!$E16)/$B5*NTD!E36*$B4/$B6))</f>
        <v>0</v>
      </c>
      <c r="I45" s="55">
        <f>IF($B5=0,0,IF($B6=0,0,(NTD!$E15+NTD!$E16)*$B2*NTD!F36/$B6+$B3*(NTD!$C15+NTD!$C16)/SUM(NTD!$C3:$C19)*$B2/0.8/NTD!$H36*NTD!F36/$B6+(NTD!$E15+NTD!$E16)/$B5*NTD!F36*$B4/$B6))</f>
        <v>0</v>
      </c>
      <c r="J45" s="55">
        <f>IF($B5=0,0,IF($B6=0,0,(NTD!$E15+NTD!$E16)*$B2*NTD!G36/$B6+$B3*(NTD!$C15+NTD!$C16)/SUM(NTD!$C3:$C19)*$B2/0.8/NTD!$H36*NTD!G36/$B6+(NTD!$E15+NTD!$E16)/$B5*NTD!G36*$B4/$B6))</f>
        <v>0</v>
      </c>
      <c r="K45" s="56">
        <f>IF($B5=0,0,(NTD!$E15+NTD!$E16)*$B2*NTD!H36+$B3*(NTD!$C15+NTD!$C16)/SUM(NTD!$C3:$C19)*$B2/0.8/NTD!$H36*NTD!H36+(NTD!$E15+NTD!$E16)/$B5*NTD!H36*$B4)</f>
        <v>0</v>
      </c>
    </row>
    <row r="46" spans="1:16" s="34" customFormat="1" ht="15" customHeight="1" thickBot="1" x14ac:dyDescent="0.3">
      <c r="A46" s="115"/>
      <c r="B46" s="38" t="s">
        <v>101</v>
      </c>
      <c r="C46" s="6"/>
      <c r="D46" s="129"/>
      <c r="E46" s="117">
        <f>IF($B5=0,0,IF($B6=0,0,(NTD!$E15+NTD!$E16+(NTD!$E15+NTD!$E16)*$D46)*$B2*NTD!B36/$B6+$B3*(NTD!$C15+NTD!$C16)/SUM(NTD!$C3:'NTD'!$C19)*$B2/0.8/NTD!$H36*NTD!B36/$B6+(NTD!$E15+NTD!$E16+(NTD!$E15+NTD!$E16)*$D46)/$B5*NTD!B36*$B4/$B6))</f>
        <v>0</v>
      </c>
      <c r="F46" s="117">
        <f>IF($B5=0,0,IF($B6=0,0,(NTD!$E15+NTD!$E16+(NTD!$E15+NTD!$E16)*$D46)*$B2*NTD!C36/$B6+$B3*(NTD!$C15+NTD!$C16)/SUM(NTD!$C3:'NTD'!$C19)*$B2/0.8/NTD!$H36*NTD!C36/$B6+(NTD!$E15+NTD!$E16+(NTD!$E15+NTD!$E16)*$D46)/$B5*NTD!C36*$B4/$B6))</f>
        <v>0</v>
      </c>
      <c r="G46" s="117">
        <f>IF($B5=0,0,IF($B6=0,0,(NTD!$E15+NTD!$E16+(NTD!$E15+NTD!$E16)*$D46)*$B2*NTD!D36/$B6+$B3*(NTD!$C15+NTD!$C16)/SUM(NTD!$C3:'NTD'!$C19)*$B2/0.8/NTD!$H36*NTD!D36/$B6+(NTD!$E15+NTD!$E16+(NTD!$E15+NTD!$E16)*$D46)/$B5*NTD!D36*$B4/$B6))</f>
        <v>0</v>
      </c>
      <c r="H46" s="117">
        <f>IF($B5=0,0,IF($B6=0,0,(NTD!$E15+NTD!$E16+(NTD!$E15+NTD!$E16)*$D46)*$B2*NTD!E36/$B6+$B3*(NTD!$C15+NTD!$C16)/SUM(NTD!$C3:'NTD'!$C19)*$B2/0.8/NTD!$H36*NTD!E36/$B6+(NTD!$E15+NTD!$E16+(NTD!$E15+NTD!$E16)*$D46)/$B5*NTD!E36*$B4/$B6))</f>
        <v>0</v>
      </c>
      <c r="I46" s="117">
        <f>IF($B5=0,0,IF($B6=0,0,(NTD!$E15+NTD!$E16+(NTD!$E15+NTD!$E16)*$D46)*$B2*NTD!F36/$B6+$B3*(NTD!$C15+NTD!$C16)/SUM(NTD!$C3:'NTD'!$C19)*$B2/0.8/NTD!$H36*NTD!F36/$B6+(NTD!$E15+NTD!$E16+(NTD!$E15+NTD!$E16)*$D46)/$B5*NTD!F36*$B4/$B6))</f>
        <v>0</v>
      </c>
      <c r="J46" s="117">
        <f>IF($B5=0,0,IF($B6=0,0,(NTD!$E15+NTD!$E16+(NTD!$E15+NTD!$E16)*$D46)*$B2*NTD!G36/$B6+$B3*(NTD!$C15+NTD!$C16)/SUM(NTD!$C3:'NTD'!$C19)*$B2/0.8/NTD!$H36*NTD!G36/$B6+(NTD!$E15+NTD!$E16+(NTD!$E15+NTD!$E16)*$D46)/$B5*NTD!G36*$B4/$B6))</f>
        <v>0</v>
      </c>
      <c r="K46" s="118">
        <f>IF($B5=0,0,(NTD!$E15+NTD!$E16+(NTD!$E15+NTD!$E16)*$D46)*$B2*NTD!H36+$B3*(NTD!$C15+NTD!$C16)/SUM(NTD!$C3:'NTD'!$C19)*$B2/0.8/NTD!$H36*NTD!H36+(NTD!$E15+NTD!$E16+(NTD!$E15+NTD!$E16)*$D46)/$B5*NTD!H36*$B4)</f>
        <v>0</v>
      </c>
    </row>
    <row r="47" spans="1:16" ht="15" customHeight="1" x14ac:dyDescent="0.25">
      <c r="A47" s="116" t="s">
        <v>100</v>
      </c>
      <c r="B47" s="121">
        <f>NTD!B1</f>
        <v>0</v>
      </c>
      <c r="C47" s="21"/>
      <c r="D47" s="145" t="s">
        <v>103</v>
      </c>
      <c r="E47" s="125">
        <f>IF($B6=0,0,(NTD!$D17*NTD!B33+NTD!$D18*NTD!B34+NTD!$D19*NTD!B35)/$B6)</f>
        <v>0</v>
      </c>
      <c r="F47" s="125">
        <f>IF($B6=0,0,(NTD!$D17*NTD!C33+NTD!$D18*NTD!C34+NTD!$D19*NTD!C35)/$B6)</f>
        <v>0</v>
      </c>
      <c r="G47" s="125">
        <f>IF($B6=0,0,(NTD!$D17*NTD!D33+NTD!$D18*NTD!D34+NTD!$D19*NTD!D35)/$B6)</f>
        <v>0</v>
      </c>
      <c r="H47" s="125">
        <f>IF($B6=0,0,(NTD!$D17*NTD!E33+NTD!$D18*NTD!E34+NTD!$D19*NTD!E35)/$B6)</f>
        <v>0</v>
      </c>
      <c r="I47" s="125">
        <f>IF($B6=0,0,(NTD!$D17*NTD!F33+NTD!$D18*NTD!F34+NTD!$D19*NTD!F35)/$B6)</f>
        <v>0</v>
      </c>
      <c r="J47" s="125">
        <f>IF($B6=0,0,(NTD!$D17*NTD!G33+NTD!$D18*NTD!G34+NTD!$D19*NTD!G35)/$B6)</f>
        <v>0</v>
      </c>
      <c r="K47" s="126">
        <f>NTD!$B17+NTD!$B18/NTD!$H34+NTD!$B19</f>
        <v>0</v>
      </c>
    </row>
    <row r="48" spans="1:16" s="34" customFormat="1" ht="15" customHeight="1" x14ac:dyDescent="0.25">
      <c r="A48" s="114"/>
      <c r="B48" s="123"/>
      <c r="C48" s="21"/>
      <c r="D48" s="146" t="s">
        <v>115</v>
      </c>
      <c r="E48" s="51">
        <f>SUM(E49:E51)+(1-SUM($D49:$D51))*E47</f>
        <v>0</v>
      </c>
      <c r="F48" s="51">
        <f t="shared" ref="F48:K48" si="5">SUM(F49:F51)+(1-SUM($D49:$D51))*F47</f>
        <v>0</v>
      </c>
      <c r="G48" s="51">
        <f t="shared" si="5"/>
        <v>0</v>
      </c>
      <c r="H48" s="51">
        <f t="shared" si="5"/>
        <v>0</v>
      </c>
      <c r="I48" s="51">
        <f t="shared" si="5"/>
        <v>0</v>
      </c>
      <c r="J48" s="51">
        <f t="shared" si="5"/>
        <v>0</v>
      </c>
      <c r="K48" s="51">
        <f t="shared" si="5"/>
        <v>0</v>
      </c>
    </row>
    <row r="49" spans="1:16" s="34" customFormat="1" ht="15" customHeight="1" x14ac:dyDescent="0.25">
      <c r="A49" s="151" t="s">
        <v>118</v>
      </c>
      <c r="B49" s="153"/>
      <c r="C49" s="38" t="s">
        <v>43</v>
      </c>
      <c r="D49" s="127"/>
      <c r="E49" s="51">
        <f>IF($B6=0,0,SUM(NTD!$D17:'NTD'!$D19)*$D49*NTD!B33/$B6)</f>
        <v>0</v>
      </c>
      <c r="F49" s="51">
        <f>IF($B6=0,0,SUM(NTD!$D17:'NTD'!$D19)*$D49*NTD!C33/$B6)</f>
        <v>0</v>
      </c>
      <c r="G49" s="51">
        <f>IF($B6=0,0,SUM(NTD!$D17:'NTD'!$D19)*$D49*NTD!D33/$B6)</f>
        <v>0</v>
      </c>
      <c r="H49" s="51">
        <f>IF($B6=0,0,SUM(NTD!$D17:'NTD'!$D19)*$D49*NTD!E33/$B6)</f>
        <v>0</v>
      </c>
      <c r="I49" s="51">
        <f>IF($D49=0,0,IF(NTD!$D17=0,SUM(NTD!$D17:'NTD'!$D19)*$D49*NTD!$H33/$B49*0.3/100/7000*453.6*2/$B6,SUM(NTD!$D17:'NTD'!$D19)*$D49*NTD!F33/$B6))</f>
        <v>0</v>
      </c>
      <c r="J49" s="51">
        <f>IF($D49=0,0,IF(NTD!$D17=0,SUM(NTD!$D17:'NTD'!$D19)*$D49*NTD!$H33/$B49*0.0546*1000/$B6,SUM(NTD!$D17:'NTD'!$D19)*$D49*NTD!G33/$B6))</f>
        <v>0</v>
      </c>
      <c r="K49" s="41">
        <f>IF($D49=0,0,IF(NTD!$B17=0,SUM(NTD!$D17:'NTD'!$D19)*$D49/$B49,SUM(NTD!$D17:'NTD'!$D19)*$D49/NTD!$D17*NTD!$B17))</f>
        <v>0</v>
      </c>
    </row>
    <row r="50" spans="1:16" s="34" customFormat="1" ht="15" customHeight="1" x14ac:dyDescent="0.25">
      <c r="A50" s="151" t="s">
        <v>117</v>
      </c>
      <c r="B50" s="153"/>
      <c r="C50" s="38" t="s">
        <v>41</v>
      </c>
      <c r="D50" s="127"/>
      <c r="E50" s="51">
        <f>IF($B6=0,0,SUM(NTD!$D17:'NTD'!$D19)*$D50*NTD!B34/$B6)</f>
        <v>0</v>
      </c>
      <c r="F50" s="51">
        <f>IF($B6=0,0,SUM(NTD!$D17:'NTD'!$D19)*$D50*NTD!C34/$B6)</f>
        <v>0</v>
      </c>
      <c r="G50" s="51">
        <f>IF($B6=0,0,SUM(NTD!$D17:'NTD'!$D19)*$D50*NTD!D34/$B6)</f>
        <v>0</v>
      </c>
      <c r="H50" s="51">
        <f>IF($B6=0,0,SUM(NTD!$D17:'NTD'!$D19)*$D50*NTD!E34/$B6)</f>
        <v>0</v>
      </c>
      <c r="I50" s="51">
        <f>IF($D50=0,0,IF(NTD!$D18=0,SUM(NTD!$D17:'NTD'!$D19)*$D50*7.3/$B50*453.6*15/1000000*2/$B6,SUM(NTD!$D17:'NTD'!$D19)*$D50*NTD!F34/$B6))</f>
        <v>0</v>
      </c>
      <c r="J50" s="51">
        <f>IF($D50=0,0,IF(NTD!$D18=0,SUM(NTD!$D17:'NTD'!$D19)*$D50/$B50*10.21*1000/$B6,SUM(NTD!$D17:'NTD'!$D19)*$D50*NTD!G34/$B6))</f>
        <v>0</v>
      </c>
      <c r="K50" s="41">
        <f>IF($D50=0,0,IF(NTD!$B18=0,SUM(NTD!$D17:'NTD'!$D19)*$D50/$B50/NTD!H34,SUM(NTD!$D17:'NTD'!$D19)*$D50/NTD!$D18*NTD!$B18/NTD!H34))</f>
        <v>0</v>
      </c>
    </row>
    <row r="51" spans="1:16" s="34" customFormat="1" ht="15" customHeight="1" x14ac:dyDescent="0.25">
      <c r="A51" s="151" t="s">
        <v>117</v>
      </c>
      <c r="B51" s="153"/>
      <c r="C51" s="38" t="s">
        <v>44</v>
      </c>
      <c r="D51" s="127"/>
      <c r="E51" s="51">
        <f>IF($B6=0,0,SUM(NTD!$D17:'NTD'!$D19)*$D51*NTD!B35/$B6)</f>
        <v>0</v>
      </c>
      <c r="F51" s="51">
        <f>IF($B6=0,0,SUM(NTD!$D17:'NTD'!$D19)*$D51*NTD!C35/$B6)</f>
        <v>0</v>
      </c>
      <c r="G51" s="51">
        <f>IF($B6=0,0,SUM(NTD!$D17:'NTD'!$D19)*$D51*NTD!D35/$B6)</f>
        <v>0</v>
      </c>
      <c r="H51" s="51">
        <f>IF($B6=0,0,SUM(NTD!$D17:'NTD'!$D19)*$D51*NTD!E35/$B6)</f>
        <v>0</v>
      </c>
      <c r="I51" s="51">
        <f>IF($D51=0,0,IF(NTD!$D19=0,SUM(NTD!$D17:'NTD'!$D19)*$D51*6.2/$B51*453.6*30/1000000*2/$B6,SUM(NTD!$D17:'NTD'!$D19)*$D51*NTD!F35/$B6))</f>
        <v>0</v>
      </c>
      <c r="J51" s="51">
        <f>IF($D51=0,0,IF(NTD!$D19=0,SUM(NTD!$D17:'NTD'!$D19)*$D51/$B51*10.21*1000/$B6,SUM(NTD!$D17:'NTD'!$D19)*$D51*NTD!G35/$B6))</f>
        <v>0</v>
      </c>
      <c r="K51" s="41">
        <f>IF($D51=0,0,IF(NTD!$B19=0,SUM(NTD!$D17:'NTD'!$D19)*$D51/$B51,SUM(NTD!$D17:'NTD'!$D19)*$D51/NTD!$D19*NTD!$B19))</f>
        <v>0</v>
      </c>
    </row>
    <row r="52" spans="1:16" s="34" customFormat="1" ht="15" customHeight="1" x14ac:dyDescent="0.25">
      <c r="A52" s="114"/>
      <c r="B52" s="38" t="s">
        <v>34</v>
      </c>
      <c r="C52" s="6"/>
      <c r="D52" s="144" t="s">
        <v>114</v>
      </c>
      <c r="E52" s="117">
        <f>IF($B5=0,0,IF($B6=0,0,SUM(NTD!$E17:'NTD'!$E19)*$B2*NTD!B36/$B6+$B3*SUM(NTD!$C17:'NTD'!$C19)/SUM(NTD!$C3:C$19)*$B2/0.8/NTD!$H36*NTD!B36/$B6+SUM(NTD!$E17:'NTD'!E$19)/$B5*NTD!B36*$B4/$B6))</f>
        <v>0</v>
      </c>
      <c r="F52" s="117">
        <f>IF($B5=0,0,IF($B6=0,0,SUM(NTD!$E17:'NTD'!$E19)*$B2*NTD!C36/$B6+$B3*SUM(NTD!$C17:'NTD'!$C19)/SUM(NTD!$C3:$C19)*$B2/0.8/NTD!$H36*NTD!C36/$B6+SUM(NTD!$E17:'NTD'!$E19)/$B5*NTD!C36*$B4/$B6))</f>
        <v>0</v>
      </c>
      <c r="G52" s="117">
        <f>IF($B5=0,0,IF($B6=0,0,SUM(NTD!$E17:'NTD'!$E19)*$B2*NTD!D36/$B6+$B3*SUM(NTD!$C17:'NTD'!$C19)/SUM(NTD!$C3:$C19)*$B2/0.8/NTD!$H36*NTD!D36/$B6+SUM(NTD!$E17:'NTD'!$E19)/$B5*NTD!D36*$B4/$B6))</f>
        <v>0</v>
      </c>
      <c r="H52" s="117">
        <f>IF($B5=0,0,IF($B6=0,0,SUM(NTD!$E17:'NTD'!$E19)*$B2*NTD!E36/$B6+$B3*SUM(NTD!$C17:'NTD'!$C19)/SUM(NTD!$C3:$C19)*$B2/0.8/NTD!$H36*NTD!E36/$B6+SUM(NTD!$E17:'NTD'!$E19)/$B5*NTD!E36*$B4/$B6))</f>
        <v>0</v>
      </c>
      <c r="I52" s="117">
        <f>IF($B5=0,0,IF($B6=0,0,SUM(NTD!$E17:'NTD'!$E19)*$B2*NTD!F36/$B6+$B3*SUM(NTD!$C17:'NTD'!$C19)/SUM(NTD!$C3:$C19)*$B2/0.8/NTD!$H36*NTD!F36/$B6+SUM(NTD!$E17:'NTD'!$E19)/$B5*NTD!F36*$B4/$B6))</f>
        <v>0</v>
      </c>
      <c r="J52" s="117">
        <f>IF($B5=0,0,IF($B6=0,0,SUM(NTD!$E17:'NTD'!$E19)*$B2*NTD!G36/$B6+$B3*SUM(NTD!$C17:'NTD'!$C19)/SUM(NTD!$C3:$C19)*$B2/0.8/NTD!$H36*NTD!G36/$B6+SUM(NTD!$E17:'NTD'!$E19)/$B5*NTD!G36*$B4/$B6))</f>
        <v>0</v>
      </c>
      <c r="K52" s="118">
        <f>IF($B5=0,0,SUM(NTD!$E17:'NTD'!$E19)*$B2*NTD!$H36+$B3*SUM(NTD!C$17:'NTD'!$C19)/SUM(NTD!$C3:'NTD'!$C19)+SUM(NTD!$E17:'NTD'!$E19)/$B5*NTD!$H36*$B4)</f>
        <v>0</v>
      </c>
    </row>
    <row r="53" spans="1:16" ht="15" customHeight="1" thickBot="1" x14ac:dyDescent="0.3">
      <c r="A53" s="115"/>
      <c r="B53" s="122" t="s">
        <v>101</v>
      </c>
      <c r="D53" s="128"/>
      <c r="E53" s="61">
        <f>IF($B5=0,0,IF($B6=0,0,(SUM(NTD!$E17:'NTD'!$E19)+SUM(NTD!$E17:'NTD'!$E19)*$D53)*$B2*NTD!B36/$B6+$B3*SUM(NTD!$C17:'NTD'!$C19)/SUM(NTD!$C3:'NTD'!$C19)*$B2/0.8/NTD!$H36*NTD!B36/$B6+(SUM(NTD!$E17:'NTD'!$E19)+SUM(NTD!$E17:'NTD'!$E19)*$D53)/$B5*NTD!B36*$B4/$B6))</f>
        <v>0</v>
      </c>
      <c r="F53" s="61">
        <f>IF($B5=0,0,IF($B6=0,0,(SUM(NTD!$E17:'NTD'!$E19)+SUM(NTD!$E17:'NTD'!$E19)*$D53)*$B2*NTD!C36/$B6+$B3*SUM(NTD!$C17:'NTD'!$C19)/SUM(NTD!$C3:'NTD'!$C19)*$B2/0.8/NTD!$H36*NTD!C36/$B6+(SUM(NTD!$E17:'NTD'!$E19)+SUM(NTD!$E17:'NTD'!$E19)*$D53)/$B5*NTD!C36*$B4/$B6))</f>
        <v>0</v>
      </c>
      <c r="G53" s="61">
        <f>IF($B5=0,0,IF($B6=0,0,(SUM(NTD!$E17:'NTD'!$E19)+SUM(NTD!$E17:'NTD'!$E19)*$D53)*$B2*NTD!D36/$B6+$B3*SUM(NTD!$C17:'NTD'!$C19)/SUM(NTD!$C3:'NTD'!$C19)*$B2/0.8/NTD!$H36*NTD!D36/$B6+(SUM(NTD!$E17:'NTD'!$E19)+SUM(NTD!$E17:'NTD'!$E19)*$D53)/$B5*NTD!D36*$B4/$B6))</f>
        <v>0</v>
      </c>
      <c r="H53" s="61">
        <f>IF($B5=0,0,IF($B6=0,0,(SUM(NTD!$E17:'NTD'!$E19)+SUM(NTD!$E17:'NTD'!$E19)*$D53)*$B2*NTD!E36/$B6+$B3*SUM(NTD!$C17:'NTD'!$C19)/SUM(NTD!$C3:'NTD'!$C19)*$B2/0.8/NTD!$H36*NTD!E36/$B6+(SUM(NTD!$E17:'NTD'!$E19)+SUM(NTD!$E17:'NTD'!$E19)*$D53)/$B5*NTD!E36*$B4/$B6))</f>
        <v>0</v>
      </c>
      <c r="I53" s="61">
        <f>IF($B5=0,0,IF($B6=0,0,(SUM(NTD!$E17:'NTD'!$E19)+SUM(NTD!$E17:'NTD'!$E19)*$D53)*$B2*NTD!F36/$B6+$B3*SUM(NTD!$C17:'NTD'!$C19)/SUM(NTD!$C3:'NTD'!$C19)*$B2/0.8/NTD!$H36*NTD!F36/$B6+(SUM(NTD!$E17:'NTD'!$E19)+SUM(NTD!$E17:'NTD'!$E19)*$D53)/$B5*NTD!F36*$B4/$B6))</f>
        <v>0</v>
      </c>
      <c r="J53" s="61">
        <f>IF($B5=0,0,IF($B6=0,0,(SUM(NTD!$E17:'NTD'!$E19)+SUM(NTD!$E17:'NTD'!$E19)*$D53)*$B2*NTD!G36/$B6+$B3*SUM(NTD!$C17:'NTD'!$C19)/SUM(NTD!$C3:'NTD'!$C19)*$B2/0.8/NTD!$H36*NTD!G36/$B6+(SUM(NTD!$E17:'NTD'!$E19)+SUM(NTD!$E17:'NTD'!$E19)*$D53)/$B5*NTD!G36*$B4/$B6))</f>
        <v>0</v>
      </c>
      <c r="K53" s="62">
        <f>IF($B5=0,0,(SUM(NTD!$E17:'NTD'!$E19)+SUM(NTD!$E17:'NTD'!$E19)*$D53)*$B2*NTD!H36+$B3*SUM(NTD!$C17:'NTD'!$C19)/SUM(NTD!$C3:'NTD'!$C19)+(SUM(NTD!$E17:'NTD'!$E19)+SUM(NTD!$E17:'NTD'!$E19)*$D53)/$B5*NTD!H36*$B4)</f>
        <v>0</v>
      </c>
    </row>
    <row r="54" spans="1:16" ht="15" customHeight="1" x14ac:dyDescent="0.25"/>
    <row r="55" spans="1:16" ht="15" customHeight="1" x14ac:dyDescent="0.25"/>
    <row r="56" spans="1:16" ht="15" customHeight="1" x14ac:dyDescent="0.25"/>
    <row r="57" spans="1:16" ht="15" customHeight="1" thickBot="1" x14ac:dyDescent="0.3"/>
    <row r="58" spans="1:16" ht="15" customHeight="1" x14ac:dyDescent="0.25">
      <c r="M58" s="184" t="s">
        <v>45</v>
      </c>
      <c r="N58" s="171"/>
      <c r="O58" s="171"/>
      <c r="P58" s="172"/>
    </row>
    <row r="59" spans="1:16" ht="15" customHeight="1" x14ac:dyDescent="0.25">
      <c r="E59" s="45"/>
      <c r="M59" s="43" t="s">
        <v>83</v>
      </c>
      <c r="N59" s="138" t="s">
        <v>111</v>
      </c>
      <c r="O59" s="130" t="s">
        <v>39</v>
      </c>
      <c r="P59" s="44" t="s">
        <v>46</v>
      </c>
    </row>
    <row r="60" spans="1:16" ht="15" customHeight="1" thickBot="1" x14ac:dyDescent="0.3">
      <c r="M60" s="46">
        <f>-K2</f>
        <v>0</v>
      </c>
      <c r="N60" s="47">
        <f>-K3</f>
        <v>0</v>
      </c>
      <c r="O60" s="131">
        <f>K4</f>
        <v>0</v>
      </c>
      <c r="P60" s="48">
        <f>K5</f>
        <v>0</v>
      </c>
    </row>
    <row r="61" spans="1:16" ht="15" customHeight="1" x14ac:dyDescent="0.25"/>
    <row r="62" spans="1:16" ht="15" customHeight="1" x14ac:dyDescent="0.25"/>
  </sheetData>
  <mergeCells count="5">
    <mergeCell ref="A1:B1"/>
    <mergeCell ref="M58:P58"/>
    <mergeCell ref="B6:B7"/>
    <mergeCell ref="M31:P31"/>
    <mergeCell ref="M2:P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="75" zoomScaleNormal="75" workbookViewId="0">
      <selection sqref="A1:B1"/>
    </sheetView>
  </sheetViews>
  <sheetFormatPr defaultRowHeight="15" x14ac:dyDescent="0.25"/>
  <cols>
    <col min="1" max="1" width="24.5703125" customWidth="1"/>
    <col min="2" max="2" width="15.5703125" customWidth="1"/>
    <col min="3" max="3" width="15.5703125" style="34" customWidth="1"/>
    <col min="4" max="4" width="18" bestFit="1" customWidth="1"/>
    <col min="5" max="11" width="17.5703125" customWidth="1"/>
    <col min="12" max="12" width="12.5703125" customWidth="1"/>
  </cols>
  <sheetData>
    <row r="1" spans="1:12" x14ac:dyDescent="0.25">
      <c r="A1" s="173">
        <f>NTD!C1</f>
        <v>0</v>
      </c>
      <c r="B1" s="168"/>
      <c r="C1" s="124"/>
      <c r="D1" s="7">
        <f>NTD!B1</f>
        <v>0</v>
      </c>
      <c r="E1" s="39" t="str">
        <f>IF($B6=453.6,"Nitrogen Oxides - Pounds",IF($B6=907200,"Nitrogen Oxides - Tons","Nitrogen Oxides"))</f>
        <v>Nitrogen Oxides</v>
      </c>
      <c r="F1" s="39" t="str">
        <f>IF($B6=453.6,"Hydrocarbons - Pounds",IF($B6=907200,"Hydrocarbons - Tons","Hydrocarbons"))</f>
        <v>Hydrocarbons</v>
      </c>
      <c r="G1" s="39" t="str">
        <f>IF($B6=453.6,"Carbon Monoxide - Pounds",IF($B6=907200,"Carbon Monoxide - Tons","Carbon Monoxide"))</f>
        <v>Carbon Monoxide</v>
      </c>
      <c r="H1" s="39" t="str">
        <f>IF($B6=453.6,"Particulate Matter - Pounds",IF($B6=907200,"Particulate Matter - Tons","Particulate Matter"))</f>
        <v>Particulate Matter</v>
      </c>
      <c r="I1" s="39" t="str">
        <f>IF($B6=453.6,"Sulfur Oxides - Pounds",IF($B6=907200,"Sulfur Oxides - Tons","Sulfur Oxides"))</f>
        <v>Sulfur Oxides</v>
      </c>
      <c r="J1" s="39" t="str">
        <f>IF($B6=453.6,"Greenhouse Gas - Pounds",IF($B6=907200,"Greenhouse Gas - Tons","Greenhouse Gas"))</f>
        <v>Greenhouse Gas</v>
      </c>
      <c r="K1" s="40" t="s">
        <v>35</v>
      </c>
    </row>
    <row r="2" spans="1:12" x14ac:dyDescent="0.25">
      <c r="A2" s="157" t="s">
        <v>51</v>
      </c>
      <c r="B2" s="94"/>
      <c r="C2" s="2" t="s">
        <v>90</v>
      </c>
      <c r="D2" s="101" t="s">
        <v>74</v>
      </c>
      <c r="E2" s="51">
        <f>IF($B6=0,0,NTD!$B3*NTD!B29/$B6)</f>
        <v>0</v>
      </c>
      <c r="F2" s="51">
        <f>IF($B6=0,0,NTD!$B3*NTD!C29/$B6)</f>
        <v>0</v>
      </c>
      <c r="G2" s="51">
        <f>IF($B6=0,0,NTD!$B3*NTD!D29/$B6)</f>
        <v>0</v>
      </c>
      <c r="H2" s="51">
        <f>IF($B6=0,0,NTD!$B3*NTD!E29/$B6)</f>
        <v>0</v>
      </c>
      <c r="I2" s="51">
        <f>IF($B6=0,0,NTD!$B3*NTD!F29/$B6)</f>
        <v>0</v>
      </c>
      <c r="J2" s="51">
        <f>IF($B6=0,0,NTD!$B3*NTD!G29/$B6)</f>
        <v>0</v>
      </c>
      <c r="K2" s="41">
        <f>NTD!$B3/NTD!H29</f>
        <v>0</v>
      </c>
    </row>
    <row r="3" spans="1:12" s="34" customFormat="1" x14ac:dyDescent="0.25">
      <c r="A3" s="4" t="s">
        <v>8</v>
      </c>
      <c r="B3" s="93"/>
      <c r="C3" s="3" t="s">
        <v>91</v>
      </c>
      <c r="D3" s="101" t="s">
        <v>106</v>
      </c>
      <c r="E3" s="51">
        <f>IF($B8=0,E$2,IF($B8=1,($B9*NTD!$B3*NTD!G43+(1-$B9)*NTD!$B3*NTD!$B29)/$B6,IF($B8=2,($B9*NTD!$B3*NTD!G45+(1-$B9)*NTD!$B3*NTD!$B29)/$B6,IF($B8=3,($B9*NTD!$B3*NTD!G47+(1-$B9)*NTD!$B3*NTD!$B29)/$B6,IF($B8=4,($B9*NTD!$B3*NTD!G48+(1-$B9)*NTD!$B3*NTD!$B29)/$B6)))))</f>
        <v>0</v>
      </c>
      <c r="F3" s="51">
        <f>IF($B8=0,F$2,IF($B8=1,($B9*NTD!$B3*NTD!H43+(1-$B9)*NTD!$B3*NTD!$B29)/$B6,IF($B8=2,($B9*NTD!$B3*NTD!H45+(1-$B9)*NTD!$B3*NTD!$B29)/$B6,IF($B8=3,($B9*NTD!$B3*NTD!H47+(1-$B9)*NTD!$B3*NTD!$B29)/$B6,IF($B8=4,($B9*NTD!$B3*NTD!H48+(1-$B9)*NTD!$B3*NTD!$B29)/$B6)))))</f>
        <v>0</v>
      </c>
      <c r="G3" s="51">
        <f>IF($B8=0,G$2,IF($B8=1,($B9*NTD!$B3*NTD!I43+(1-$B9)*NTD!$B3*NTD!$B29)/$B6,IF($B8=2,($B9*NTD!$B3*NTD!I45+(1-$B9)*NTD!$B3*NTD!$B29)/$B6,IF($B8=3,($B9*NTD!$B3*NTD!I47+(1-$B9)*NTD!$B3*NTD!$B29)/$B6,IF($B8=4,($B9*NTD!$B3*NTD!I48+(1-$B9)*NTD!$B3*NTD!$B29)/$B6)))))</f>
        <v>0</v>
      </c>
      <c r="H3" s="51">
        <f>IF($B8=0,H$2,IF($B8=1,($B9*NTD!$B3*NTD!J43+(1-$B9)*NTD!$B3*NTD!$B29)/$B6,IF($B8=2,($B9*NTD!$B3*NTD!J45+(1-$B9)*NTD!$B3*NTD!$B29)/$B6,IF($B8=3,($B9*NTD!$B3*NTD!J47+(1-$B9)*NTD!$B3*NTD!$B29)/$B6,IF($B8=4,($B9*NTD!$B3*NTD!J48+(1-$B9)*NTD!$B3*NTD!$B29)/$B6)))))</f>
        <v>0</v>
      </c>
      <c r="I3" s="51">
        <f>IF($B6=0,0,NTD!$B3*NTD!F29/$B6)</f>
        <v>0</v>
      </c>
      <c r="J3" s="51">
        <f>IF($B6=0,0,NTD!$B3*NTD!G29/$B6)</f>
        <v>0</v>
      </c>
      <c r="K3" s="41">
        <f>NTD!$B3/NTD!H29</f>
        <v>0</v>
      </c>
    </row>
    <row r="4" spans="1:12" x14ac:dyDescent="0.25">
      <c r="A4" s="4" t="s">
        <v>14</v>
      </c>
      <c r="B4" s="94"/>
      <c r="C4" s="2" t="s">
        <v>92</v>
      </c>
      <c r="D4" s="35" t="s">
        <v>34</v>
      </c>
      <c r="E4" s="55">
        <f>IF($B5=0,0,IF($B6=0,0,NTD!$E3*$B2*NTD!B36/$B6+$B3*NTD!$C3/SUM(NTD!$C3:$C19)*$B2/0.8/NTD!$H36*NTD!B36/$B6+NTD!$E3/$B5*NTD!B36*$B4/$B6))</f>
        <v>0</v>
      </c>
      <c r="F4" s="55">
        <f>IF($B5=0,0,IF($B6=0,0,NTD!$E3*$B2*NTD!C36/$B6+$B3*NTD!$C3/SUM(NTD!$C3:$C19)*$B2/0.8/NTD!$H36*NTD!C36/$B6+NTD!$E3/$B5*NTD!C36*$B4/$B6))</f>
        <v>0</v>
      </c>
      <c r="G4" s="55">
        <f>IF($B5=0,0,IF($B6=0,0,NTD!$E3*$B2*NTD!D36/$B6+$B3*NTD!$C3/SUM(NTD!$C3:$C19)*$B2/0.8/NTD!$H36*NTD!D36/$B6+NTD!$E3/$B5*NTD!D36*$B4/$B6))</f>
        <v>0</v>
      </c>
      <c r="H4" s="55">
        <f>IF($B5=0,0,IF($B6=0,0,NTD!$E3*$B2*NTD!E36/$B6+$B3*NTD!$C3/SUM(NTD!$C3:$C19)*$B2/0.8/NTD!$H36*NTD!E36/$B6+NTD!$E3/$B5*NTD!E36*$B4/$B6))</f>
        <v>0</v>
      </c>
      <c r="I4" s="55">
        <f>IF($B5=0,0,IF($B6=0,0,NTD!$E3*$B2*NTD!F36/$B6+$B3*NTD!$C3/SUM(NTD!$C3:$C19)*$B2/0.8/NTD!$H36*NTD!F36/$B6+NTD!$E3/$B5*NTD!F36*$B4/$B6))</f>
        <v>0</v>
      </c>
      <c r="J4" s="55">
        <f>IF($B5=0,0,IF($B6=0,0,NTD!$E3*$B2*NTD!G36/$B6+$B3*NTD!$C3/SUM(NTD!$C3:$C19)*$B2/0.8/NTD!$H36*NTD!G36/$B6+NTD!$E3/$B5*NTD!G36*$B4/$B6))</f>
        <v>0</v>
      </c>
      <c r="K4" s="56">
        <f>IF($B5=0,0,NTD!$E3*$B2*NTD!H36+$B3*NTD!$C3/SUM(NTD!C3:C19)+NTD!$E3/$B5*NTD!H36*$B4)</f>
        <v>0</v>
      </c>
    </row>
    <row r="5" spans="1:12" ht="30" x14ac:dyDescent="0.25">
      <c r="A5" s="4" t="s">
        <v>16</v>
      </c>
      <c r="B5" s="94"/>
      <c r="C5" s="2" t="s">
        <v>93</v>
      </c>
      <c r="D5" s="35" t="s">
        <v>37</v>
      </c>
      <c r="E5" s="55">
        <f>IF($B5=0,0,IF($B6=0,0,(NTD!$C3+NTD!$C3*$B10)*NTD!$F3*$B2*NTD!B36/$B6+$B3*NTD!$C3/SUM(NTD!$C3:$C19)*$B2/0.8/NTD!$H36*NTD!B36/$B6+(NTD!$C3+NTD!$C3*$B10)*NTD!$F3/$B5*NTD!B36*$B4/$B6))</f>
        <v>0</v>
      </c>
      <c r="F5" s="55">
        <f>IF($B5=0,0,IF($B6=0,0,(NTD!$C3+NTD!$C3*$B10)*NTD!$F3*$B2*NTD!C36/$B6+$B3*NTD!$C3/SUM(NTD!$C3:$C19)*$B2/0.8/NTD!$H36*NTD!C36/$B6+(NTD!$C3+NTD!$C3*$B10)*NTD!$F3/$B5*NTD!C36*$B4/$B6))</f>
        <v>0</v>
      </c>
      <c r="G5" s="55">
        <f>IF($B5=0,0,IF($B6=0,0,(NTD!$C3+NTD!$C3*$B10)*NTD!$F3*$B2*NTD!D36/$B6+$B3*NTD!$C3/SUM(NTD!$C3:$C19)*$B2/0.8/NTD!$H36*NTD!D36/$B6+(NTD!$C3+NTD!$C3*$B10)*NTD!$F3/$B5*NTD!D36*$B4/$B6))</f>
        <v>0</v>
      </c>
      <c r="H5" s="55">
        <f>IF($B5=0,0,IF($B6=0,0,(NTD!$C3+NTD!$C3*$B10)*NTD!$F3*$B2*NTD!E36/$B6+$B3*NTD!$C3/SUM(NTD!$C3:$C19)*$B2/0.8/NTD!$H36*NTD!E36/$B6+(NTD!$C3+NTD!$C3*$B10)*NTD!$F3/$B5*NTD!E36*$B4/$B6))</f>
        <v>0</v>
      </c>
      <c r="I5" s="55">
        <f>IF($B5=0,0,IF($B6=0,0,(NTD!$C3+NTD!$C3*$B10)*NTD!$F3*$B2*NTD!F36/$B6+$B3*NTD!$C3/SUM(NTD!$C3:$C19)*$B2/0.8/NTD!$H36*NTD!F36/$B6+(NTD!$C3+NTD!$C3*$B10)*NTD!$F3/$B5*NTD!F36*$B4/$B6))</f>
        <v>0</v>
      </c>
      <c r="J5" s="55">
        <f>IF($B5=0,0,IF($B6=0,0,(NTD!$C3+NTD!$C3*$B10)*NTD!$F3*$B2*NTD!G36/$B6+$B3*NTD!$C3/SUM(NTD!$C3:$C19)*$B2/0.8/NTD!$H36*NTD!G36/$B6+(NTD!$C3+NTD!$C3*$B10)*NTD!$F3/$B5*NTD!G36*$B4/$B6))</f>
        <v>0</v>
      </c>
      <c r="K5" s="56">
        <f>IF($B5=0,0,(NTD!$C3+NTD!$C3*$B10)*NTD!$F3*$B2*NTD!$H36+$B3*NTD!$C3/SUM(NTD!$C3:$C19)+(NTD!$C3+NTD!$C3*$B10)*NTD!$F3/$B5*NTD!$H36*$B4)</f>
        <v>0</v>
      </c>
    </row>
    <row r="6" spans="1:12" ht="15.75" thickBot="1" x14ac:dyDescent="0.3">
      <c r="A6" s="4" t="s">
        <v>88</v>
      </c>
      <c r="B6" s="175"/>
      <c r="C6" s="2"/>
      <c r="D6" s="36" t="s">
        <v>33</v>
      </c>
      <c r="E6" s="61">
        <f>IF($B5=0,0,IF($B6=0,0,NTD!$G3*$B2*NTD!B36/$B6+$B3*NTD!$C3/SUM(NTD!$C3:$C19)*$B2/0.8/NTD!$H36*NTD!B36/$B6+NTD!$G3/$B5*NTD!B36*$B4/$B6))</f>
        <v>0</v>
      </c>
      <c r="F6" s="61">
        <f>IF($B5=0,0,IF($B6=0,0,NTD!$G3*$B2*NTD!C36/$B6+$B3*NTD!$C3/SUM(NTD!$C3:$C19)*$B2/0.8/NTD!$H36*NTD!C36/$B6+NTD!$G3/$B5*NTD!C36*$B4/$B6))</f>
        <v>0</v>
      </c>
      <c r="G6" s="61">
        <f>IF($B5=0,0,IF($B6=0,0,NTD!$G3*$B2*NTD!D36/$B6+$B3*NTD!$C3/SUM(NTD!$C3:$C19)*$B2/0.8/NTD!$H36*NTD!D36/$B6+NTD!$G3/$B5*NTD!D36*$B4/$B6))</f>
        <v>0</v>
      </c>
      <c r="H6" s="61">
        <f>IF($B5=0,0,IF($B6=0,0,NTD!$G3*$B2*NTD!E36/$B6+$B3*NTD!$C3/SUM(NTD!$C3:$C19)*$B2/0.8/NTD!$H36*NTD!E36/$B6+NTD!$G3/$B5*NTD!E36*$B4/$B6))</f>
        <v>0</v>
      </c>
      <c r="I6" s="61">
        <f>IF($B5=0,0,IF($B6=0,0,NTD!$G3*$B2*NTD!F36/$B6+$B3*NTD!$C3/SUM(NTD!$C3:$C19)*$B2/0.8/NTD!$H36*NTD!F36/$B6+NTD!$G3/$B5*NTD!F36*$B4/$B6))</f>
        <v>0</v>
      </c>
      <c r="J6" s="61">
        <f>IF($B5=0,0,IF($B6=0,0,NTD!$G3*$B2*NTD!G36/$B6+$B3*NTD!$C3/SUM(NTD!$C3:$C19)*$B2/0.8/NTD!$H36*NTD!G36/$B6+NTD!$G3/$B5*NTD!G36*$B4/$B6))</f>
        <v>0</v>
      </c>
      <c r="K6" s="62">
        <f>IF($B5=0,0,NTD!$G3*$B2*NTD!H36+$B3*NTD!$C3/SUM(NTD!$C3:$C19)+NTD!$G3/$B5*NTD!H36*$B4)</f>
        <v>0</v>
      </c>
    </row>
    <row r="7" spans="1:12" s="34" customFormat="1" x14ac:dyDescent="0.25">
      <c r="A7" s="4" t="s">
        <v>89</v>
      </c>
      <c r="B7" s="176"/>
      <c r="C7" s="6"/>
      <c r="D7" s="98"/>
      <c r="E7" s="99"/>
      <c r="F7" s="99"/>
      <c r="G7" s="99"/>
      <c r="H7" s="99"/>
      <c r="I7" s="99"/>
      <c r="J7" s="99"/>
      <c r="K7" s="99"/>
    </row>
    <row r="8" spans="1:12" s="34" customFormat="1" x14ac:dyDescent="0.25">
      <c r="A8" s="4" t="s">
        <v>113</v>
      </c>
      <c r="B8" s="155"/>
      <c r="C8" s="6"/>
      <c r="D8" s="98"/>
      <c r="E8" s="99"/>
      <c r="F8" s="99"/>
      <c r="G8" s="99"/>
      <c r="H8" s="99"/>
      <c r="I8" s="99"/>
      <c r="J8" s="99"/>
      <c r="K8" s="99"/>
    </row>
    <row r="9" spans="1:12" x14ac:dyDescent="0.25">
      <c r="A9" s="4" t="s">
        <v>119</v>
      </c>
      <c r="B9" s="154"/>
      <c r="C9" s="156"/>
      <c r="D9" s="100"/>
    </row>
    <row r="10" spans="1:12" ht="15.75" thickBot="1" x14ac:dyDescent="0.3">
      <c r="A10" s="76" t="s">
        <v>73</v>
      </c>
      <c r="B10" s="95"/>
    </row>
    <row r="11" spans="1:12" x14ac:dyDescent="0.25">
      <c r="H11" s="102"/>
      <c r="I11" s="86"/>
      <c r="J11" s="86" t="str">
        <f>IF(B6=453.6,"Criteria Air Pollutants Mitigated By Transit - Pounds",IF(B6=907200,"Criteria Air Pollutants Mitigated By Transit - Tons","Criteria Air Pollutants Mitigated By Transit"))</f>
        <v>Criteria Air Pollutants Mitigated By Transit</v>
      </c>
      <c r="K11" s="86"/>
      <c r="L11" s="87"/>
    </row>
    <row r="12" spans="1:12" ht="45" x14ac:dyDescent="0.25">
      <c r="H12" s="43" t="s">
        <v>75</v>
      </c>
      <c r="I12" s="42" t="s">
        <v>76</v>
      </c>
      <c r="J12" s="42" t="s">
        <v>77</v>
      </c>
      <c r="K12" s="42" t="s">
        <v>38</v>
      </c>
      <c r="L12" s="44" t="s">
        <v>78</v>
      </c>
    </row>
    <row r="13" spans="1:12" ht="15.75" thickBot="1" x14ac:dyDescent="0.3">
      <c r="H13" s="80">
        <f>IF($B6=0,0,NTD!$E3*$B2*SUM(NTD!B36:'NTD'!F36)/$B6)</f>
        <v>0</v>
      </c>
      <c r="I13" s="81">
        <f>IF(B6=0,0,B3*NTD!C3/SUM(NTD!C3:C19)*B2/0.8/NTD!H36*SUM(NTD!B36:'NTD'!F36)/$B6)</f>
        <v>0</v>
      </c>
      <c r="J13" s="81">
        <f>IF(B5=0,0,IF(B6=0,0,NTD!E3/B5*SUM(NTD!B36:'NTD'!F36)*B4/$B6))</f>
        <v>0</v>
      </c>
      <c r="K13" s="81">
        <f>-(E2+F2+G2+H2+I2)</f>
        <v>0</v>
      </c>
      <c r="L13" s="82">
        <f>H13+I13+J13+K13</f>
        <v>0</v>
      </c>
    </row>
    <row r="36" spans="8:12" ht="15.75" thickBot="1" x14ac:dyDescent="0.3"/>
    <row r="37" spans="8:12" x14ac:dyDescent="0.25">
      <c r="H37" s="102"/>
      <c r="I37" s="86"/>
      <c r="J37" s="86" t="str">
        <f>IF(B6=453.6,"Greenhouse Gas Savings From Transit - Pounds",IF(B6=907200,"Greenhouse Gas Savings From Transit - Tons","Greenhouse Gas Savings From Transit"))</f>
        <v>Greenhouse Gas Savings From Transit</v>
      </c>
      <c r="K37" s="86"/>
      <c r="L37" s="87"/>
    </row>
    <row r="38" spans="8:12" ht="45" x14ac:dyDescent="0.25">
      <c r="H38" s="43" t="s">
        <v>75</v>
      </c>
      <c r="I38" s="42" t="s">
        <v>76</v>
      </c>
      <c r="J38" s="42" t="s">
        <v>77</v>
      </c>
      <c r="K38" s="42" t="s">
        <v>38</v>
      </c>
      <c r="L38" s="44" t="s">
        <v>78</v>
      </c>
    </row>
    <row r="39" spans="8:12" ht="15.75" thickBot="1" x14ac:dyDescent="0.3">
      <c r="H39" s="103">
        <f>IF($B6=0,0,NTD!E3*B2*NTD!G36/$B6)</f>
        <v>0</v>
      </c>
      <c r="I39" s="104">
        <f>IF(B6=0,0,B3*NTD!C3/SUM(NTD!C3:C19)*B2/0.8/NTD!H36*NTD!G36/$B6)</f>
        <v>0</v>
      </c>
      <c r="J39" s="104">
        <f>IF(B5=0,0,IF(B6=0,0,NTD!E3/B5*NTD!G36*B4/$B6))</f>
        <v>0</v>
      </c>
      <c r="K39" s="104">
        <f>-J2</f>
        <v>0</v>
      </c>
      <c r="L39" s="105">
        <f>H39+I39+J39+K39</f>
        <v>0</v>
      </c>
    </row>
    <row r="62" spans="8:12" ht="15.75" thickBot="1" x14ac:dyDescent="0.3"/>
    <row r="63" spans="8:12" x14ac:dyDescent="0.25">
      <c r="H63" s="174" t="s">
        <v>79</v>
      </c>
      <c r="I63" s="169"/>
      <c r="J63" s="169"/>
      <c r="K63" s="169"/>
      <c r="L63" s="168"/>
    </row>
    <row r="64" spans="8:12" ht="45" x14ac:dyDescent="0.25">
      <c r="H64" s="43" t="s">
        <v>75</v>
      </c>
      <c r="I64" s="42" t="s">
        <v>76</v>
      </c>
      <c r="J64" s="42" t="s">
        <v>77</v>
      </c>
      <c r="K64" s="42" t="s">
        <v>83</v>
      </c>
      <c r="L64" s="44" t="s">
        <v>78</v>
      </c>
    </row>
    <row r="65" spans="8:12" ht="15.75" thickBot="1" x14ac:dyDescent="0.3">
      <c r="H65" s="77">
        <f>NTD!E3*B2*NTD!H36</f>
        <v>0</v>
      </c>
      <c r="I65" s="78">
        <f>IF(SUM(NTD!$C3:'NTD'!$C19)=0,0,B3*NTD!C3/SUM(NTD!C3:C19))</f>
        <v>0</v>
      </c>
      <c r="J65" s="78">
        <f>IF(B5=0,0,NTD!E3/B5*NTD!H36*B4)</f>
        <v>0</v>
      </c>
      <c r="K65" s="78">
        <f>-K2</f>
        <v>0</v>
      </c>
      <c r="L65" s="79">
        <f>H65+I65+J65+K65</f>
        <v>0</v>
      </c>
    </row>
  </sheetData>
  <mergeCells count="3">
    <mergeCell ref="A1:B1"/>
    <mergeCell ref="H63:L63"/>
    <mergeCell ref="B6:B7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75" zoomScaleNormal="75" workbookViewId="0">
      <selection sqref="A1:B1"/>
    </sheetView>
  </sheetViews>
  <sheetFormatPr defaultRowHeight="15" x14ac:dyDescent="0.25"/>
  <cols>
    <col min="1" max="1" width="24.5703125" customWidth="1"/>
    <col min="2" max="2" width="15.5703125" customWidth="1"/>
    <col min="3" max="3" width="15.5703125" style="34" customWidth="1"/>
    <col min="4" max="4" width="19" bestFit="1" customWidth="1"/>
    <col min="5" max="11" width="17.5703125" customWidth="1"/>
    <col min="12" max="12" width="12.5703125" customWidth="1"/>
  </cols>
  <sheetData>
    <row r="1" spans="1:12" ht="15.75" thickBot="1" x14ac:dyDescent="0.3">
      <c r="A1" s="173">
        <f>NTD!C1</f>
        <v>0</v>
      </c>
      <c r="B1" s="169"/>
      <c r="C1" s="106"/>
      <c r="D1" s="7">
        <f>NTD!B1</f>
        <v>0</v>
      </c>
      <c r="E1" s="39" t="str">
        <f>IF($B6=453.6,"Nitrogen Oxides - Pounds",IF($B6=907200,"Nitrogen Oxides - Tons","Nitrogen Oxides"))</f>
        <v>Nitrogen Oxides</v>
      </c>
      <c r="F1" s="39" t="str">
        <f>IF($B6=453.6,"Hydrocarbons - Pounds",IF($B6=907200,"Hydrocarbons - Tons","Hydrocarbons"))</f>
        <v>Hydrocarbons</v>
      </c>
      <c r="G1" s="39" t="str">
        <f>IF($B6=453.6,"Carbon Monoxide - Pounds",IF($B6=907200,"Carbon Monoxide - Tons","Carbon Monoxide"))</f>
        <v>Carbon Monoxide</v>
      </c>
      <c r="H1" s="39" t="str">
        <f>IF($B6=453.6,"Particulate Matter - Pounds",IF($B6=907200,"Particulate Matter - Tons","Particulate Matter"))</f>
        <v>Particulate Matter</v>
      </c>
      <c r="I1" s="39" t="str">
        <f>IF($B6=453.6,"Sulfur Oxides - Pounds",IF($B6=907200,"Sulfur Oxides - Tons","Sulfur Oxides"))</f>
        <v>Sulfur Oxides</v>
      </c>
      <c r="J1" s="39" t="str">
        <f>IF($B6=453.6,"Greenhouse Gas - Pounds",IF($B6=907200,"Greenhouse Gas - Tons","Greenhouse Gas"))</f>
        <v>Greenhouse Gas</v>
      </c>
      <c r="K1" s="40" t="s">
        <v>35</v>
      </c>
    </row>
    <row r="2" spans="1:12" x14ac:dyDescent="0.25">
      <c r="A2" s="91" t="s">
        <v>51</v>
      </c>
      <c r="B2" s="92"/>
      <c r="C2" s="2" t="s">
        <v>90</v>
      </c>
      <c r="D2" s="101" t="s">
        <v>80</v>
      </c>
      <c r="E2" s="51">
        <f>IF($B6=0,0,NTD!$B4*NTD!B30/$B6)</f>
        <v>0</v>
      </c>
      <c r="F2" s="51">
        <f>IF($B6=0,0,NTD!$B4*NTD!C30/$B6)</f>
        <v>0</v>
      </c>
      <c r="G2" s="51">
        <f>IF($B6=0,0,NTD!$B4*NTD!D30/$B6)</f>
        <v>0</v>
      </c>
      <c r="H2" s="51">
        <f>IF($B6=0,0,NTD!$B4*NTD!E30/$B6)</f>
        <v>0</v>
      </c>
      <c r="I2" s="51">
        <f>IF($B6=0,0,NTD!$B4*NTD!F30/$B6)</f>
        <v>0</v>
      </c>
      <c r="J2" s="51">
        <f>IF($B6=0,0,NTD!$B4*NTD!G30/$B6)</f>
        <v>0</v>
      </c>
      <c r="K2" s="41">
        <f>NTD!$B4/NTD!H30</f>
        <v>0</v>
      </c>
    </row>
    <row r="3" spans="1:12" x14ac:dyDescent="0.25">
      <c r="A3" s="4" t="s">
        <v>8</v>
      </c>
      <c r="B3" s="93"/>
      <c r="C3" s="3" t="s">
        <v>91</v>
      </c>
      <c r="D3" s="35" t="s">
        <v>34</v>
      </c>
      <c r="E3" s="55">
        <f>IF($B5=0,0,IF($B6=0,0,NTD!$E4*$B2*NTD!B36/$B6+$B3*NTD!$C4/SUM(NTD!$C3:$C19)*$B2/0.8/NTD!$H36*NTD!B36/$B6+NTD!$E4/$B5*NTD!B36*$B4/$B6))</f>
        <v>0</v>
      </c>
      <c r="F3" s="55">
        <f>IF($B5=0,0,IF($B6=0,0,NTD!$E4*$B2*NTD!C36/$B6+$B3*NTD!$C4/SUM(NTD!$C3:$C19)*$B2/0.8/NTD!$H36*NTD!C36/$B6+NTD!$E4/$B5*NTD!C36*$B4/$B6))</f>
        <v>0</v>
      </c>
      <c r="G3" s="55">
        <f>IF($B5=0,0,IF($B6=0,0,NTD!$E4*$B2*NTD!D36/$B6+$B3*NTD!$C4/SUM(NTD!$C3:$C19)*$B2/0.8/NTD!$H36*NTD!D36/$B6+NTD!$E4/$B5*NTD!D36*$B4/$B6))</f>
        <v>0</v>
      </c>
      <c r="H3" s="55">
        <f>IF($B5=0,0,IF($B6=0,0,NTD!$E4*$B2*NTD!E36/$B6+$B3*NTD!$C4/SUM(NTD!$C3:$C19)*$B2/0.8/NTD!$H36*NTD!E36/$B6+NTD!$E4/$B5*NTD!E36*$B4/$B6))</f>
        <v>0</v>
      </c>
      <c r="I3" s="55">
        <f>IF($B5=0,0,IF($B6=0,0,NTD!$E4*$B2*NTD!F36/$B6+$B3*NTD!$C4/SUM(NTD!$C3:$C19)*$B2/0.8/NTD!$H36*NTD!F36/$B6+NTD!$E4/$B5*NTD!F36*$B4/$B6))</f>
        <v>0</v>
      </c>
      <c r="J3" s="55">
        <f>IF($B5=0,0,IF($B6=0,0,NTD!$E4*$B2*NTD!G36/$B6+$B3*NTD!$C4/SUM(NTD!$C3:$C19)*$B2/0.8/NTD!$H36*NTD!G36/$B6+NTD!$E4/$B5*NTD!G36*$B4/$B6))</f>
        <v>0</v>
      </c>
      <c r="K3" s="56">
        <f>IF($B5=0,0,NTD!$E4*$B2*NTD!H36+$B3*NTD!$C4/SUM(NTD!C3:C19)+NTD!$E4/$B5*NTD!H36*$B4)</f>
        <v>0</v>
      </c>
    </row>
    <row r="4" spans="1:12" x14ac:dyDescent="0.25">
      <c r="A4" s="4" t="s">
        <v>14</v>
      </c>
      <c r="B4" s="94"/>
      <c r="C4" s="2" t="s">
        <v>92</v>
      </c>
      <c r="D4" s="35" t="s">
        <v>37</v>
      </c>
      <c r="E4" s="55">
        <f>IF($B5=0,0,IF($B6=0,0,(NTD!$C4+NTD!$C4*$B8)*NTD!$F4*$B2*NTD!B36/$B6+$B3*NTD!$C4/SUM(NTD!$C3:$C19)*$B2/0.8/NTD!$H36*NTD!B36/$B6+(NTD!$C4+NTD!$C4*$B8)*NTD!$F4/$B5*NTD!B36*$B4/$B6))</f>
        <v>0</v>
      </c>
      <c r="F4" s="55">
        <f>IF($B5=0,0,IF($B6=0,0,(NTD!$C4+NTD!$C4*$B8)*NTD!$F4*$B2*NTD!C36/$B6+$B3*NTD!$C4/SUM(NTD!$C3:$C19)*$B2/0.8/NTD!$H36*NTD!C36/$B6+(NTD!$C4+NTD!$C4*$B8)*NTD!$F4/$B5*NTD!C36*$B4/$B6))</f>
        <v>0</v>
      </c>
      <c r="G4" s="55">
        <f>IF($B5=0,0,IF($B6=0,0,(NTD!$C4+NTD!$C4*$B8)*NTD!$F4*$B2*NTD!D36/$B6+$B3*NTD!$C4/SUM(NTD!$C3:$C19)*$B2/0.8/NTD!$H36*NTD!D36/$B6+(NTD!$C4+NTD!$C4*$B8)*NTD!$F4/$B5*NTD!D36*$B4/$B6))</f>
        <v>0</v>
      </c>
      <c r="H4" s="55">
        <f>IF($B5=0,0,IF($B6=0,0,(NTD!$C4+NTD!$C4*$B8)*NTD!$F4*$B2*NTD!E36/$B6+$B3*NTD!$C4/SUM(NTD!$C3:$C19)*$B2/0.8/NTD!$H36*NTD!E36/$B6+(NTD!$C4+NTD!$C4*$B8)*NTD!$F4/$B5*NTD!E36*$B4/$B6))</f>
        <v>0</v>
      </c>
      <c r="I4" s="55">
        <f>IF($B5=0,0,IF($B6=0,0,(NTD!$C4+NTD!$C4*$B8)*NTD!$F4*$B2*NTD!F36/$B6+$B3*NTD!$C4/SUM(NTD!$C3:$C19)*$B2/0.8/NTD!$H36*NTD!F36/$B6+(NTD!$C4+NTD!$C4*$B8)*NTD!$F4/$B5*NTD!F36*$B4/$B6))</f>
        <v>0</v>
      </c>
      <c r="J4" s="55">
        <f>IF($B5=0,0,IF($B6=0,0,(NTD!$C4+NTD!$C4*$B8)*NTD!$F4*$B2*NTD!G36/$B6+$B3*NTD!$C4/SUM(NTD!$C3:$C19)*$B2/0.8/NTD!$H36*NTD!G36/$B6+(NTD!$C4+NTD!$C4*$B8)*NTD!$F4/$B5*NTD!G36*$B4/$B6))</f>
        <v>0</v>
      </c>
      <c r="K4" s="56">
        <f>IF($B5=0,0,(NTD!$C4+NTD!$C4*B8)*NTD!$F4*$B2*NTD!$H36+$B3*NTD!$C4/SUM(NTD!$C3:$C19)+(NTD!$C4+NTD!$C4*B8)*NTD!$F4/$B5*NTD!$H36*$B4)</f>
        <v>0</v>
      </c>
    </row>
    <row r="5" spans="1:12" ht="30.75" thickBot="1" x14ac:dyDescent="0.3">
      <c r="A5" s="4" t="s">
        <v>16</v>
      </c>
      <c r="B5" s="94"/>
      <c r="C5" s="2" t="s">
        <v>93</v>
      </c>
      <c r="D5" s="36" t="s">
        <v>33</v>
      </c>
      <c r="E5" s="61">
        <f>IF($B5=0,0,IF($B6=0,0,NTD!$G4*$B2*NTD!B36/$B6+$B3*NTD!$C4/SUM(NTD!$C3:$C19)*$B2/0.8/NTD!$H36*NTD!B36/$B6+NTD!$G4/$B5*NTD!B36*$B4/$B6))</f>
        <v>0</v>
      </c>
      <c r="F5" s="61">
        <f>IF($B5=0,0,IF($B6=0,0,NTD!$G4*$B2*NTD!C36/$B6+$B3*NTD!$C4/SUM(NTD!$C3:$C19)*$B2/0.8/NTD!$H36*NTD!C36/$B6+NTD!$G4/$B5*NTD!C36*$B4/$B6))</f>
        <v>0</v>
      </c>
      <c r="G5" s="61">
        <f>IF($B5=0,0,IF($B6=0,0,NTD!$G4*$B2*NTD!D36/$B6+$B3*NTD!$C4/SUM(NTD!$C3:$C19)*$B2/0.8/NTD!$H36*NTD!D36/$B6+NTD!$G4/$B5*NTD!D36*$B4/$B6))</f>
        <v>0</v>
      </c>
      <c r="H5" s="61">
        <f>IF($B5=0,0,IF($B6=0,0,NTD!$G4*$B2*NTD!E36/$B6+$B3*NTD!$C4/SUM(NTD!$C3:$C19)*$B2/0.8/NTD!$H36*NTD!E36/$B6+NTD!$G4/$B5*NTD!E36*$B4/$B6))</f>
        <v>0</v>
      </c>
      <c r="I5" s="61">
        <f>IF($B5=0,0,IF($B6=0,0,NTD!$G4*$B2*NTD!F36/$B6+$B3*NTD!$C4/SUM(NTD!$C3:$C19)*$B2/0.8/NTD!$H36*NTD!F36/$B6+NTD!$G4/$B5*NTD!F36*$B4/$B6))</f>
        <v>0</v>
      </c>
      <c r="J5" s="61">
        <f>IF($B5=0,0,IF($B6=0,0,NTD!$G4*$B2*NTD!G36/$B6+$B3*NTD!$C4/SUM(NTD!$C3:$C19)*$B2/0.8/NTD!$H36*NTD!G36/$B6+NTD!$G4/$B5*NTD!G36*$B4/$B6))</f>
        <v>0</v>
      </c>
      <c r="K5" s="62">
        <f>IF($B5=0,0,NTD!$G4*$B2*NTD!H36+$B3*NTD!$C4/SUM(NTD!$C3:$C19)+NTD!$G4/$B5*NTD!H36*$B4)</f>
        <v>0</v>
      </c>
    </row>
    <row r="6" spans="1:12" s="34" customFormat="1" x14ac:dyDescent="0.25">
      <c r="A6" s="4" t="s">
        <v>88</v>
      </c>
      <c r="B6" s="177"/>
      <c r="C6" s="97"/>
      <c r="D6" s="98"/>
      <c r="E6" s="99"/>
      <c r="F6" s="99"/>
      <c r="G6" s="99"/>
      <c r="H6" s="99"/>
      <c r="I6" s="99"/>
      <c r="J6" s="99"/>
      <c r="K6" s="99"/>
    </row>
    <row r="7" spans="1:12" s="34" customFormat="1" x14ac:dyDescent="0.25">
      <c r="A7" s="4" t="s">
        <v>89</v>
      </c>
      <c r="B7" s="178"/>
      <c r="C7" s="97"/>
      <c r="D7" s="98"/>
      <c r="E7" s="99"/>
      <c r="F7" s="99"/>
      <c r="G7" s="99"/>
      <c r="H7" s="99"/>
      <c r="I7" s="99"/>
      <c r="J7" s="99"/>
      <c r="K7" s="99"/>
    </row>
    <row r="8" spans="1:12" ht="15.75" thickBot="1" x14ac:dyDescent="0.3">
      <c r="A8" s="76" t="s">
        <v>73</v>
      </c>
      <c r="B8" s="95"/>
      <c r="C8" s="96"/>
      <c r="D8" s="34"/>
      <c r="E8" s="34"/>
      <c r="F8" s="34"/>
      <c r="G8" s="34"/>
      <c r="H8" s="34"/>
      <c r="I8" s="34"/>
      <c r="J8" s="34"/>
      <c r="K8" s="34"/>
    </row>
    <row r="9" spans="1:12" ht="15.75" thickBot="1" x14ac:dyDescent="0.3"/>
    <row r="10" spans="1:12" x14ac:dyDescent="0.25">
      <c r="H10" s="102"/>
      <c r="I10" s="86"/>
      <c r="J10" s="165" t="str">
        <f>IF(B6=453.6,"Criteria Air Pollutants Mitigated By Transit - Pounds",IF(B6=907200,"Criteria Air Pollutants Mitigated By Transit - Tons","Criteria Air Pollutants Mitigated By Transit"))</f>
        <v>Criteria Air Pollutants Mitigated By Transit</v>
      </c>
      <c r="K10" s="86"/>
      <c r="L10" s="87"/>
    </row>
    <row r="11" spans="1:12" ht="45" x14ac:dyDescent="0.25">
      <c r="H11" s="43" t="s">
        <v>75</v>
      </c>
      <c r="I11" s="42" t="s">
        <v>76</v>
      </c>
      <c r="J11" s="42" t="s">
        <v>77</v>
      </c>
      <c r="K11" s="42" t="s">
        <v>38</v>
      </c>
      <c r="L11" s="44" t="s">
        <v>78</v>
      </c>
    </row>
    <row r="12" spans="1:12" ht="15.75" thickBot="1" x14ac:dyDescent="0.3">
      <c r="H12" s="80">
        <f>IF($B6=0,0,NTD!$E4*$B2*SUM(NTD!B36:'NTD'!F36)/$B6)</f>
        <v>0</v>
      </c>
      <c r="I12" s="81">
        <f>IF(B6=0,0,B3*NTD!C4/SUM(NTD!C3:C19)*B2/0.8/NTD!H36*SUM(NTD!B36:'NTD'!F36)/$B6)</f>
        <v>0</v>
      </c>
      <c r="J12" s="81">
        <f>IF(B5=0,0,IF(B6=0,0,NTD!E4/B5*SUM(NTD!B36:'NTD'!F36)*B4/$B6))</f>
        <v>0</v>
      </c>
      <c r="K12" s="81">
        <f>-(E2+F2+G2+H2+I2)</f>
        <v>0</v>
      </c>
      <c r="L12" s="82">
        <f>H12+I12+J12+K12</f>
        <v>0</v>
      </c>
    </row>
    <row r="35" spans="8:12" ht="15.75" thickBot="1" x14ac:dyDescent="0.3"/>
    <row r="36" spans="8:12" x14ac:dyDescent="0.25">
      <c r="H36" s="102"/>
      <c r="I36" s="86"/>
      <c r="J36" s="165" t="str">
        <f>IF(B6=453.6,"Greenhouse Gas Savings From Transit - Pounds",IF(B6=907200,"Greenhouse Gas Savings From Transit - Tons","Greenhouse Gas Savings From Transit"))</f>
        <v>Greenhouse Gas Savings From Transit</v>
      </c>
      <c r="K36" s="86"/>
      <c r="L36" s="87"/>
    </row>
    <row r="37" spans="8:12" ht="45" x14ac:dyDescent="0.25">
      <c r="H37" s="42" t="s">
        <v>75</v>
      </c>
      <c r="I37" s="42" t="s">
        <v>76</v>
      </c>
      <c r="J37" s="42" t="s">
        <v>77</v>
      </c>
      <c r="K37" s="42" t="s">
        <v>38</v>
      </c>
      <c r="L37" s="42" t="s">
        <v>78</v>
      </c>
    </row>
    <row r="38" spans="8:12" x14ac:dyDescent="0.25">
      <c r="H38" s="83">
        <f>IF($B6=0,0,NTD!E4*B2*NTD!G36/$B6)</f>
        <v>0</v>
      </c>
      <c r="I38" s="83">
        <f>IF(B6=0,0,B4*NTD!C4/SUM(NTD!C3:C19)*B2/0.8/NTD!H36*NTD!G36/$B6)</f>
        <v>0</v>
      </c>
      <c r="J38" s="83">
        <f>IF(B5=0,0,IF(B6=0,0,NTD!E4/B5*NTD!G36*B4/$B6))</f>
        <v>0</v>
      </c>
      <c r="K38" s="83">
        <f>-J2</f>
        <v>0</v>
      </c>
      <c r="L38" s="83">
        <f>H38+I38+J38+K38</f>
        <v>0</v>
      </c>
    </row>
    <row r="60" spans="8:12" ht="15.75" thickBot="1" x14ac:dyDescent="0.3"/>
    <row r="61" spans="8:12" x14ac:dyDescent="0.25">
      <c r="H61" s="174" t="s">
        <v>79</v>
      </c>
      <c r="I61" s="169"/>
      <c r="J61" s="169"/>
      <c r="K61" s="169"/>
      <c r="L61" s="168"/>
    </row>
    <row r="62" spans="8:12" ht="45" x14ac:dyDescent="0.25">
      <c r="H62" s="43" t="s">
        <v>75</v>
      </c>
      <c r="I62" s="42" t="s">
        <v>76</v>
      </c>
      <c r="J62" s="42" t="s">
        <v>77</v>
      </c>
      <c r="K62" s="42" t="s">
        <v>83</v>
      </c>
      <c r="L62" s="44" t="s">
        <v>78</v>
      </c>
    </row>
    <row r="63" spans="8:12" ht="15.75" thickBot="1" x14ac:dyDescent="0.3">
      <c r="H63" s="77">
        <f>NTD!E4*B2*NTD!H36</f>
        <v>0</v>
      </c>
      <c r="I63" s="78">
        <f>IF(SUM(NTD!$C3:'NTD'!$C19)=0,0,B3*NTD!C4/SUM(NTD!C3:C19))</f>
        <v>0</v>
      </c>
      <c r="J63" s="78">
        <f>IF(B5=0,0,NTD!E4/B5*NTD!H36*B4)</f>
        <v>0</v>
      </c>
      <c r="K63" s="78">
        <f>-K2</f>
        <v>0</v>
      </c>
      <c r="L63" s="79">
        <f>H63+I63+J63+K63</f>
        <v>0</v>
      </c>
    </row>
  </sheetData>
  <mergeCells count="3">
    <mergeCell ref="A1:B1"/>
    <mergeCell ref="H61:L61"/>
    <mergeCell ref="B6:B7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75" zoomScaleNormal="75" workbookViewId="0">
      <selection sqref="A1:B1"/>
    </sheetView>
  </sheetViews>
  <sheetFormatPr defaultRowHeight="15" x14ac:dyDescent="0.25"/>
  <cols>
    <col min="1" max="1" width="24.5703125" customWidth="1"/>
    <col min="2" max="2" width="15.5703125" customWidth="1"/>
    <col min="3" max="3" width="15.5703125" style="34" customWidth="1"/>
    <col min="4" max="11" width="17.5703125" customWidth="1"/>
    <col min="12" max="12" width="12.5703125" customWidth="1"/>
  </cols>
  <sheetData>
    <row r="1" spans="1:12" ht="15.75" thickBot="1" x14ac:dyDescent="0.3">
      <c r="A1" s="173">
        <f>NTD!C1</f>
        <v>0</v>
      </c>
      <c r="B1" s="169"/>
      <c r="C1" s="85"/>
      <c r="D1" s="39">
        <f>NTD!B1</f>
        <v>0</v>
      </c>
      <c r="E1" s="39" t="str">
        <f>IF($B6=453.6,"Nitrogen Oxides - Pounds",IF($B6=907200,"Nitrogen Oxides - Tons","Nitrogen Oxides"))</f>
        <v>Nitrogen Oxides</v>
      </c>
      <c r="F1" s="39" t="str">
        <f>IF($B6=453.6,"Hydrocarbons - Pounds",IF($B6=907200,"Hydrocarbons - Tons","Hydrocarbons"))</f>
        <v>Hydrocarbons</v>
      </c>
      <c r="G1" s="39" t="str">
        <f>IF($B6=453.6,"Carbon Monoxide - Pounds",IF($B6=907200,"Carbon Monoxide - Tons","Carbon Monoxide"))</f>
        <v>Carbon Monoxide</v>
      </c>
      <c r="H1" s="39" t="str">
        <f>IF($B6=453.6,"Particulate Matter - Pounds",IF($B6=907200,"Particulate Matter - Tons","Particulate Matter"))</f>
        <v>Particulate Matter</v>
      </c>
      <c r="I1" s="39" t="str">
        <f>IF($B6=453.6,"Sulfur Oxides - Pounds",IF($B6=907200,"Sulfur Oxides - Tons","Sulfur Oxides"))</f>
        <v>Sulfur Oxides</v>
      </c>
      <c r="J1" s="39" t="str">
        <f>IF($B6=453.6,"Greenhouse Gas - Pounds",IF($B6=907200,"Greenhouse Gas - Tons","Greenhouse Gas"))</f>
        <v>Greenhouse Gas</v>
      </c>
      <c r="K1" s="40" t="s">
        <v>35</v>
      </c>
    </row>
    <row r="2" spans="1:12" x14ac:dyDescent="0.25">
      <c r="A2" s="91" t="s">
        <v>51</v>
      </c>
      <c r="B2" s="92"/>
      <c r="C2" s="2" t="s">
        <v>90</v>
      </c>
      <c r="D2" s="101" t="s">
        <v>7</v>
      </c>
      <c r="E2" s="51">
        <f>IF($B6=0,0,NTD!$B5*NTD!B30/$B6)</f>
        <v>0</v>
      </c>
      <c r="F2" s="51">
        <f>IF($B6=0,0,NTD!$B5*NTD!C30/$B6)</f>
        <v>0</v>
      </c>
      <c r="G2" s="51">
        <f>IF($B6=0,0,NTD!$B5*NTD!D30/$B6)</f>
        <v>0</v>
      </c>
      <c r="H2" s="51">
        <f>IF($B6=0,0,NTD!$B5*NTD!E30/$B6)</f>
        <v>0</v>
      </c>
      <c r="I2" s="51">
        <f>IF($B6=0,0,NTD!$B5*NTD!F30/$B6)</f>
        <v>0</v>
      </c>
      <c r="J2" s="51">
        <f>IF($B6=0,0,NTD!$B5*NTD!G30/$B6)</f>
        <v>0</v>
      </c>
      <c r="K2" s="41">
        <f>NTD!$B5/NTD!H30</f>
        <v>0</v>
      </c>
    </row>
    <row r="3" spans="1:12" x14ac:dyDescent="0.25">
      <c r="A3" s="4" t="s">
        <v>8</v>
      </c>
      <c r="B3" s="93"/>
      <c r="C3" s="3" t="s">
        <v>91</v>
      </c>
      <c r="D3" s="35" t="s">
        <v>34</v>
      </c>
      <c r="E3" s="55">
        <f>IF($B5=0,0,IF($B6=0,0,NTD!$E5*$B2*NTD!B36/$B6+$B3*NTD!$C5/SUM(NTD!$C3:$C19)*$B2/0.8/NTD!$H36*NTD!B36/$B6+NTD!$E5/$B5*NTD!B36*$B4/$B6))</f>
        <v>0</v>
      </c>
      <c r="F3" s="55">
        <f>IF($B5=0,0,IF($B6=0,0,NTD!$E5*$B2*NTD!C36/$B6+$B3*NTD!$C5/SUM(NTD!$C3:$C19)*$B2/0.8/NTD!$H36*NTD!C36/$B6+NTD!$E5/$B5*NTD!C36*$B4/$B6))</f>
        <v>0</v>
      </c>
      <c r="G3" s="55">
        <f>IF($B5=0,0,IF($B6=0,0,NTD!$E5*$B2*NTD!D36/$B6+$B3*NTD!$C5/SUM(NTD!$C3:$C19)*$B2/0.8/NTD!$H36*NTD!D36/$B6+NTD!$E5/$B5*NTD!D36*$B4/$B6))</f>
        <v>0</v>
      </c>
      <c r="H3" s="55">
        <f>IF($B5=0,0,IF($B6=0,0,NTD!$E5*$B2*NTD!E36/$B6+$B3*NTD!$C5/SUM(NTD!$C3:$C19)*$B2/0.8/NTD!$H36*NTD!E36/$B6+NTD!$E5/$B5*NTD!E36*$B4/$B6))</f>
        <v>0</v>
      </c>
      <c r="I3" s="55">
        <f>IF($B5=0,0,IF($B6=0,0,NTD!$E5*$B2*NTD!F36/$B6+$B3*NTD!$C5/SUM(NTD!$C3:$C19)*$B2/0.8/NTD!$H36*NTD!F36/$B6+NTD!$E5/$B5*NTD!F36*$B4/$B6))</f>
        <v>0</v>
      </c>
      <c r="J3" s="55">
        <f>IF($B5=0,0,IF($B6=0,0,NTD!$E5*$B2*NTD!G36/$B6+$B3*NTD!$C5/SUM(NTD!$C3:$C19)*$B2/0.8/NTD!$H36*NTD!G36/$B6+NTD!$E5/$B5*NTD!G36*$B4/$B6))</f>
        <v>0</v>
      </c>
      <c r="K3" s="56">
        <f>IF($B5=0,0,NTD!$E5*$B2*NTD!H36+$B3*NTD!$C5/SUM(NTD!C3:C19)+NTD!$E5/$B5*NTD!H36*$B4)</f>
        <v>0</v>
      </c>
    </row>
    <row r="4" spans="1:12" x14ac:dyDescent="0.25">
      <c r="A4" s="4" t="s">
        <v>14</v>
      </c>
      <c r="B4" s="94"/>
      <c r="C4" s="2" t="s">
        <v>92</v>
      </c>
      <c r="D4" s="35" t="s">
        <v>37</v>
      </c>
      <c r="E4" s="55">
        <f>IF($B5=0,0,IF($B6=0,0,(NTD!$C5+NTD!$C5*$B8)*NTD!$F5*$B2*NTD!B36/$B6+$B3*NTD!$C5/SUM(NTD!$C3:$C19)*$B2/0.8/NTD!$H36*NTD!B36/$B6+(NTD!$C5+NTD!$C5*$B8)*NTD!$F5/$B5*NTD!B36*$B4/$B6))</f>
        <v>0</v>
      </c>
      <c r="F4" s="55">
        <f>IF($B5=0,0,IF($B6=0,0,(NTD!$C5+NTD!$C5*$B8)*NTD!$F5*$B2*NTD!C36/$B6+$B3*NTD!$C5/SUM(NTD!$C3:$C19)*$B2/0.8/NTD!$H36*NTD!C36/$B6+(NTD!$C5+NTD!$C5*$B8)*NTD!$F5/$B5*NTD!C36*$B4/$B6))</f>
        <v>0</v>
      </c>
      <c r="G4" s="55">
        <f>IF($B5=0,0,IF($B6=0,0,(NTD!$C5+NTD!$C5*$B8)*NTD!$F5*$B2*NTD!D36/$B6+$B3*NTD!$C5/SUM(NTD!$C3:$C19)*$B2/0.8/NTD!$H36*NTD!D36/$B6+(NTD!$C5+NTD!$C5*$B8)*NTD!$F5/$B5*NTD!D36*$B4/$B6))</f>
        <v>0</v>
      </c>
      <c r="H4" s="55">
        <f>IF($B5=0,0,IF($B6=0,0,(NTD!$C5+NTD!$C5*$B8)*NTD!$F5*$B2*NTD!E36/$B6+$B3*NTD!$C5/SUM(NTD!$C3:$C19)*$B2/0.8/NTD!$H36*NTD!E36/$B6+(NTD!$C5+NTD!$C5*$B8)*NTD!$F5/$B5*NTD!E36*$B4/$B6))</f>
        <v>0</v>
      </c>
      <c r="I4" s="55">
        <f>IF($B5=0,0,IF($B6=0,0,(NTD!$C5+NTD!$C5*$B8)*NTD!$F5*$B2*NTD!F36/$B6+$B3*NTD!$C5/SUM(NTD!$C3:$C19)*$B2/0.8/NTD!$H36*NTD!F36/$B6+(NTD!$C5+NTD!$C5*$B8)*NTD!$F5/$B5*NTD!F36*$B4/$B6))</f>
        <v>0</v>
      </c>
      <c r="J4" s="55">
        <f>IF($B5=0,0,IF($B6=0,0,(NTD!$C5+NTD!$C5*$B8)*NTD!$F5*$B2*NTD!G36/$B6+$B3*NTD!$C5/SUM(NTD!$C3:$C19)*$B2/0.8/NTD!$H36*NTD!G36/$B6+(NTD!$C5+NTD!$C5*$B8)*NTD!$F5/$B5*NTD!G36*$B4/$B6))</f>
        <v>0</v>
      </c>
      <c r="K4" s="56">
        <f>IF($B5=0,0,(NTD!$C5+NTD!$C5*B8)*NTD!$F5*$B2*NTD!$H36+$B3*NTD!$C5/SUM(NTD!$C3:$C19)+(NTD!$C5+NTD!$C5*B8)*NTD!$F5/$B5*NTD!$H36*$B4)</f>
        <v>0</v>
      </c>
    </row>
    <row r="5" spans="1:12" ht="30.75" thickBot="1" x14ac:dyDescent="0.3">
      <c r="A5" s="4" t="s">
        <v>16</v>
      </c>
      <c r="B5" s="94"/>
      <c r="C5" s="2" t="s">
        <v>93</v>
      </c>
      <c r="D5" s="36" t="s">
        <v>33</v>
      </c>
      <c r="E5" s="61">
        <f>IF($B5=0,0,IF($B6=0,0,NTD!$G5*$B2*NTD!B36/$B6+$B3*NTD!$C5/SUM(NTD!$C3:$C19)*$B2/0.8/NTD!$H36*NTD!B36/$B6+NTD!$G5/$B5*NTD!B36*$B4/$B6))</f>
        <v>0</v>
      </c>
      <c r="F5" s="61">
        <f>IF($B5=0,0,IF($B6=0,0,NTD!$G5*$B2*NTD!C36/$B6+$B3*NTD!$C5/SUM(NTD!$C3:$C19)*$B2/0.8/NTD!$H36*NTD!C36/$B6+NTD!$G5/$B5*NTD!C36*$B4/$B6))</f>
        <v>0</v>
      </c>
      <c r="G5" s="61">
        <f>IF($B5=0,0,IF($B6=0,0,NTD!$G5*$B2*NTD!D36/$B6+$B3*NTD!$C5/SUM(NTD!$C3:$C19)*$B2/0.8/NTD!$H36*NTD!D36/$B6+NTD!$G5/$B5*NTD!D36*$B4/$B6))</f>
        <v>0</v>
      </c>
      <c r="H5" s="61">
        <f>IF($B5=0,0,IF($B6=0,0,NTD!$G5*$B2*NTD!E36/$B6+$B3*NTD!$C5/SUM(NTD!$C3:$C19)*$B2/0.8/NTD!$H36*NTD!E36/$B6+NTD!$G5/$B5*NTD!E36*$B4/$B6))</f>
        <v>0</v>
      </c>
      <c r="I5" s="61">
        <f>IF($B5=0,0,IF($B6=0,0,NTD!$G5*$B2*NTD!F36/$B6+$B3*NTD!$C5/SUM(NTD!$C3:$C19)*$B2/0.8/NTD!$H36*NTD!F36/$B6+NTD!$G5/$B5*NTD!F36*$B4/$B6))</f>
        <v>0</v>
      </c>
      <c r="J5" s="61">
        <f>IF($B5=0,0,IF($B6=0,0,NTD!$G5*$B2*NTD!G36/$B6+$B3*NTD!$C5/SUM(NTD!$C3:$C19)*$B2/0.8/NTD!$H36*NTD!G36/$B6+NTD!$G5/$B5*NTD!G36*$B4/$B6))</f>
        <v>0</v>
      </c>
      <c r="K5" s="62">
        <f>IF($B5=0,0,NTD!$G5*$B2*NTD!H36+$B3*NTD!$C5/SUM(NTD!$C3:$C19)+NTD!$G5/$B5*NTD!H36*$B4)</f>
        <v>0</v>
      </c>
    </row>
    <row r="6" spans="1:12" s="34" customFormat="1" x14ac:dyDescent="0.25">
      <c r="A6" s="4" t="s">
        <v>88</v>
      </c>
      <c r="B6" s="177"/>
      <c r="C6" s="97"/>
      <c r="D6" s="98"/>
      <c r="E6" s="99"/>
      <c r="F6" s="99"/>
      <c r="G6" s="99"/>
      <c r="H6" s="99"/>
      <c r="I6" s="99"/>
      <c r="J6" s="99"/>
      <c r="K6" s="99"/>
    </row>
    <row r="7" spans="1:12" s="34" customFormat="1" x14ac:dyDescent="0.25">
      <c r="A7" s="4" t="s">
        <v>89</v>
      </c>
      <c r="B7" s="178"/>
      <c r="C7" s="97"/>
      <c r="D7" s="98"/>
      <c r="E7" s="99"/>
      <c r="F7" s="99"/>
      <c r="G7" s="99"/>
      <c r="H7" s="99"/>
      <c r="I7" s="99"/>
      <c r="J7" s="99"/>
      <c r="K7" s="99"/>
    </row>
    <row r="8" spans="1:12" ht="15.75" thickBot="1" x14ac:dyDescent="0.3">
      <c r="A8" s="76" t="s">
        <v>73</v>
      </c>
      <c r="B8" s="95"/>
      <c r="C8" s="96"/>
      <c r="D8" s="34"/>
      <c r="E8" s="34"/>
      <c r="F8" s="34"/>
      <c r="G8" s="34"/>
      <c r="H8" s="34"/>
      <c r="I8" s="34"/>
      <c r="J8" s="34"/>
      <c r="K8" s="34"/>
    </row>
    <row r="9" spans="1:12" ht="15.75" thickBot="1" x14ac:dyDescent="0.3"/>
    <row r="10" spans="1:12" x14ac:dyDescent="0.25">
      <c r="H10" s="102"/>
      <c r="I10" s="86"/>
      <c r="J10" s="165" t="str">
        <f>IF(B6=453.6,"Criteria Air Pollutants Mitigated By Transit - Pounds",IF(B6=907200,"Criteria Air Pollutants Mitigated By Transit - Tons","Criteria Air Pollutants Mitigated By Transit"))</f>
        <v>Criteria Air Pollutants Mitigated By Transit</v>
      </c>
      <c r="K10" s="86"/>
      <c r="L10" s="87"/>
    </row>
    <row r="11" spans="1:12" ht="45" x14ac:dyDescent="0.25">
      <c r="H11" s="43" t="s">
        <v>75</v>
      </c>
      <c r="I11" s="42" t="s">
        <v>76</v>
      </c>
      <c r="J11" s="42" t="s">
        <v>77</v>
      </c>
      <c r="K11" s="42" t="s">
        <v>38</v>
      </c>
      <c r="L11" s="44" t="s">
        <v>78</v>
      </c>
    </row>
    <row r="12" spans="1:12" ht="15.75" thickBot="1" x14ac:dyDescent="0.3">
      <c r="H12" s="80">
        <f>IF($B6=0,0,NTD!$E5*$B2*SUM(NTD!B36:'NTD'!F36)/$B6)</f>
        <v>0</v>
      </c>
      <c r="I12" s="81">
        <f>IF(B6=0,0,B3*NTD!C5/SUM(NTD!C3:C19)*B2/0.8/NTD!H36*SUM(NTD!B36:'NTD'!F36)/$B6)</f>
        <v>0</v>
      </c>
      <c r="J12" s="81">
        <f>IF(B5=0,0,IF(B6=0,0,NTD!E5/B5*SUM(NTD!B36:'NTD'!F36)*B4/$B6))</f>
        <v>0</v>
      </c>
      <c r="K12" s="81">
        <f>-(E2+F2+G2+H2+I2)</f>
        <v>0</v>
      </c>
      <c r="L12" s="82">
        <f>H12+I12+J12+K12</f>
        <v>0</v>
      </c>
    </row>
    <row r="35" spans="8:12" ht="15.75" thickBot="1" x14ac:dyDescent="0.3"/>
    <row r="36" spans="8:12" x14ac:dyDescent="0.25">
      <c r="H36" s="102"/>
      <c r="I36" s="86"/>
      <c r="J36" s="165" t="str">
        <f>IF(B6=453.6,"Greenhouse Gas Savings From Transit - Pounds",IF(B6=907200,"Greenhouse Gas Savings From Transit - Tons","Greenhouse Gas Savings From Transit"))</f>
        <v>Greenhouse Gas Savings From Transit</v>
      </c>
      <c r="K36" s="86"/>
      <c r="L36" s="87"/>
    </row>
    <row r="37" spans="8:12" ht="45" x14ac:dyDescent="0.25">
      <c r="H37" s="42" t="s">
        <v>75</v>
      </c>
      <c r="I37" s="42" t="s">
        <v>76</v>
      </c>
      <c r="J37" s="42" t="s">
        <v>77</v>
      </c>
      <c r="K37" s="42" t="s">
        <v>38</v>
      </c>
      <c r="L37" s="42" t="s">
        <v>78</v>
      </c>
    </row>
    <row r="38" spans="8:12" x14ac:dyDescent="0.25">
      <c r="H38" s="83">
        <f>IF($B6=0,0,NTD!E5*B2*NTD!G36/$B6)</f>
        <v>0</v>
      </c>
      <c r="I38" s="83">
        <f>IF(B6=0,0,B3*NTD!C5/SUM(NTD!C3:C19)*B2/0.8/NTD!H36*NTD!G36/$B6)</f>
        <v>0</v>
      </c>
      <c r="J38" s="83">
        <f>IF(B5=0,0,IF(B6=0,0,NTD!E5/B5*NTD!G36*B4/$B6))</f>
        <v>0</v>
      </c>
      <c r="K38" s="83">
        <f>-J2</f>
        <v>0</v>
      </c>
      <c r="L38" s="83">
        <f>H38+I38+J38+K38</f>
        <v>0</v>
      </c>
    </row>
    <row r="60" spans="8:12" ht="15.75" thickBot="1" x14ac:dyDescent="0.3"/>
    <row r="61" spans="8:12" x14ac:dyDescent="0.25">
      <c r="H61" s="174" t="s">
        <v>79</v>
      </c>
      <c r="I61" s="169"/>
      <c r="J61" s="169"/>
      <c r="K61" s="169"/>
      <c r="L61" s="168"/>
    </row>
    <row r="62" spans="8:12" ht="45" x14ac:dyDescent="0.25">
      <c r="H62" s="43" t="s">
        <v>75</v>
      </c>
      <c r="I62" s="42" t="s">
        <v>76</v>
      </c>
      <c r="J62" s="42" t="s">
        <v>77</v>
      </c>
      <c r="K62" s="42" t="s">
        <v>83</v>
      </c>
      <c r="L62" s="44" t="s">
        <v>78</v>
      </c>
    </row>
    <row r="63" spans="8:12" ht="15.75" thickBot="1" x14ac:dyDescent="0.3">
      <c r="H63" s="77">
        <f>NTD!E5*B2*NTD!H36</f>
        <v>0</v>
      </c>
      <c r="I63" s="78">
        <f>IF(SUM(NTD!$C3:'NTD'!$C19)=0,0,B3*NTD!C5/SUM(NTD!C3:C19))</f>
        <v>0</v>
      </c>
      <c r="J63" s="78">
        <f>IF(B5=0,0,NTD!E5/B5*NTD!H36*B4)</f>
        <v>0</v>
      </c>
      <c r="K63" s="78">
        <f>-K2</f>
        <v>0</v>
      </c>
      <c r="L63" s="79">
        <f>H63+I63+J63+K63</f>
        <v>0</v>
      </c>
    </row>
  </sheetData>
  <mergeCells count="3">
    <mergeCell ref="H61:L61"/>
    <mergeCell ref="A1:B1"/>
    <mergeCell ref="B6:B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75" zoomScaleNormal="75" workbookViewId="0">
      <selection sqref="A1:B1"/>
    </sheetView>
  </sheetViews>
  <sheetFormatPr defaultRowHeight="15" x14ac:dyDescent="0.25"/>
  <cols>
    <col min="1" max="1" width="24.5703125" customWidth="1"/>
    <col min="2" max="2" width="15.5703125" customWidth="1"/>
    <col min="3" max="3" width="15.5703125" style="34" customWidth="1"/>
    <col min="4" max="11" width="17.5703125" customWidth="1"/>
    <col min="12" max="12" width="12.5703125" customWidth="1"/>
  </cols>
  <sheetData>
    <row r="1" spans="1:12" ht="15.75" thickBot="1" x14ac:dyDescent="0.3">
      <c r="A1" s="173">
        <f>NTD!C1</f>
        <v>0</v>
      </c>
      <c r="B1" s="169"/>
      <c r="C1" s="85"/>
      <c r="D1" s="39">
        <f>NTD!B1</f>
        <v>0</v>
      </c>
      <c r="E1" s="39" t="str">
        <f>IF($B6=453.6,"Nitrogen Oxides - Pounds",IF($B6=907200,"Nitrogen Oxides - Tons","Nitrogen Oxides"))</f>
        <v>Nitrogen Oxides</v>
      </c>
      <c r="F1" s="39" t="str">
        <f>IF($B6=453.6,"Hydrocarbons - Pounds",IF($B6=907200,"Hydrocarbons - Tons","Hydrocarbons"))</f>
        <v>Hydrocarbons</v>
      </c>
      <c r="G1" s="39" t="str">
        <f>IF($B6=453.6,"Carbon Monoxide - Pounds",IF($B6=907200,"Carbon Monoxide - Tons","Carbon Monoxide"))</f>
        <v>Carbon Monoxide</v>
      </c>
      <c r="H1" s="39" t="str">
        <f>IF($B6=453.6,"Particulate Matter - Pounds",IF($B6=907200,"Particulate Matter - Tons","Particulate Matter"))</f>
        <v>Particulate Matter</v>
      </c>
      <c r="I1" s="39" t="str">
        <f>IF($B6=453.6,"Sulfur Oxides - Pounds",IF($B6=907200,"Sulfur Oxides - Tons","Sulfur Oxides"))</f>
        <v>Sulfur Oxides</v>
      </c>
      <c r="J1" s="39" t="str">
        <f>IF($B6=453.6,"Greenhouse Gas - Pounds",IF($B6=907200,"Greenhouse Gas - Tons","Greenhouse Gas"))</f>
        <v>Greenhouse Gas</v>
      </c>
      <c r="K1" s="40" t="s">
        <v>35</v>
      </c>
    </row>
    <row r="2" spans="1:12" x14ac:dyDescent="0.25">
      <c r="A2" s="91" t="s">
        <v>51</v>
      </c>
      <c r="B2" s="92"/>
      <c r="C2" s="2" t="s">
        <v>90</v>
      </c>
      <c r="D2" s="101" t="s">
        <v>36</v>
      </c>
      <c r="E2" s="51">
        <f>IF($B6=0,0,NTD!$B6*NTD!B30/$B6)</f>
        <v>0</v>
      </c>
      <c r="F2" s="51">
        <f>IF($B6=0,0,NTD!$B6*NTD!C30/$B6)</f>
        <v>0</v>
      </c>
      <c r="G2" s="51">
        <f>IF($B6=0,0,NTD!$B6*NTD!D30/$B6)</f>
        <v>0</v>
      </c>
      <c r="H2" s="51">
        <f>IF($B6=0,0,NTD!$B6*NTD!E30/$B6)</f>
        <v>0</v>
      </c>
      <c r="I2" s="51">
        <f>IF($B6=0,0,NTD!$B6*NTD!F30/$B6)</f>
        <v>0</v>
      </c>
      <c r="J2" s="51">
        <f>IF($B6=0,0,NTD!$B6*NTD!G30/$B6)</f>
        <v>0</v>
      </c>
      <c r="K2" s="41">
        <f>NTD!$B6/NTD!H30</f>
        <v>0</v>
      </c>
    </row>
    <row r="3" spans="1:12" x14ac:dyDescent="0.25">
      <c r="A3" s="4" t="s">
        <v>8</v>
      </c>
      <c r="B3" s="93"/>
      <c r="C3" s="3" t="s">
        <v>91</v>
      </c>
      <c r="D3" s="35" t="s">
        <v>34</v>
      </c>
      <c r="E3" s="55">
        <f>IF($B5=0,0,IF($B6=0,0,NTD!$E6*$B2*NTD!B36/$B6+$B3*NTD!$C6/SUM(NTD!$C3:$C19)*$B2/0.8/NTD!$H36*NTD!B36/$B6+NTD!$E6/$B5*NTD!B36*$B4/$B6))</f>
        <v>0</v>
      </c>
      <c r="F3" s="55">
        <f>IF($B5=0,0,IF($B6=0,0,NTD!$E6*$B2*NTD!C36/$B6+$B3*NTD!$C6/SUM(NTD!$C3:$C19)*$B2/0.8/NTD!$H36*NTD!C36/$B6+NTD!$E6/$B5*NTD!C36*$B4/$B6))</f>
        <v>0</v>
      </c>
      <c r="G3" s="55">
        <f>IF($B5=0,0,IF($B6=0,0,NTD!$E6*$B2*NTD!D36/$B6+$B3*NTD!$C6/SUM(NTD!$C3:$C19)*$B2/0.8/NTD!$H36*NTD!D36/$B6+NTD!$E6/$B5*NTD!D36*$B4/$B6))</f>
        <v>0</v>
      </c>
      <c r="H3" s="55">
        <f>IF($B5=0,0,IF($B6=0,0,NTD!$E6*$B2*NTD!E36/$B6+$B3*NTD!$C6/SUM(NTD!$C3:$C19)*$B2/0.8/NTD!$H36*NTD!E36/$B6+NTD!$E6/$B5*NTD!E36*$B4/$B6))</f>
        <v>0</v>
      </c>
      <c r="I3" s="55">
        <f>IF($B5=0,0,IF($B6=0,0,NTD!$E6*$B2*NTD!F36/$B6+$B3*NTD!$C6/SUM(NTD!$C3:$C19)*$B2/0.8/NTD!$H36*NTD!F36/$B6+NTD!$E6/$B5*NTD!F36*$B4/$B6))</f>
        <v>0</v>
      </c>
      <c r="J3" s="55">
        <f>IF($B5=0,0,IF($B6=0,0,NTD!$E6*$B2*NTD!G36/$B6+$B3*NTD!$C6/SUM(NTD!$C3:$C19)*$B2/0.8/NTD!$H36*NTD!G36/$B6+NTD!$E6/$B5*NTD!G36*$B4/$B6))</f>
        <v>0</v>
      </c>
      <c r="K3" s="56">
        <f>IF($B5=0,0,NTD!$E6*$B2*NTD!H36+$B3*NTD!$C6/SUM(NTD!C3:C19)+NTD!$E6/$B5*NTD!H36*$B4)</f>
        <v>0</v>
      </c>
    </row>
    <row r="4" spans="1:12" x14ac:dyDescent="0.25">
      <c r="A4" s="4" t="s">
        <v>14</v>
      </c>
      <c r="B4" s="94"/>
      <c r="C4" s="2" t="s">
        <v>92</v>
      </c>
      <c r="D4" s="35" t="s">
        <v>37</v>
      </c>
      <c r="E4" s="55">
        <f>IF($B5=0,0,IF($B6=0,0,(NTD!$C6+NTD!$C6*$B8)*NTD!$F6*$B2*NTD!B36/$B6+$B3*NTD!$C6/SUM(NTD!$C3:$C19)*$B2/0.8/NTD!$H36*NTD!B36/$B6+(NTD!$C6+NTD!$C6*$B8)*NTD!$F6/$B5*NTD!B36*$B4/$B6))</f>
        <v>0</v>
      </c>
      <c r="F4" s="55">
        <f>IF($B5=0,0,IF($B6=0,0,(NTD!$C6+NTD!$C6*$B8)*NTD!$F6*$B2*NTD!C36/$B6+$B3*NTD!$C6/SUM(NTD!$C3:$C19)*$B2/0.8/NTD!$H36*NTD!C36/$B6+(NTD!$C6+NTD!$C6*$B8)*NTD!$F6/$B5*NTD!C36*$B4/$B6))</f>
        <v>0</v>
      </c>
      <c r="G4" s="55">
        <f>IF($B5=0,0,IF($B6=0,0,(NTD!$C6+NTD!$C6*$B8)*NTD!$F6*$B2*NTD!D36/$B6+$B3*NTD!$C6/SUM(NTD!$C3:$C19)*$B2/0.8/NTD!$H36*NTD!D36/$B6+(NTD!$C6+NTD!$C6*$B8)*NTD!$F6/$B5*NTD!D36*$B4/$B6))</f>
        <v>0</v>
      </c>
      <c r="H4" s="55">
        <f>IF($B5=0,0,IF($B6=0,0,(NTD!$C6+NTD!$C6*$B8)*NTD!$F6*$B2*NTD!E36/$B6+$B3*NTD!$C6/SUM(NTD!$C3:$C19)*$B2/0.8/NTD!$H36*NTD!E36/$B6+(NTD!$C6+NTD!$C6*$B8)*NTD!$F6/$B5*NTD!E36*$B4/$B6))</f>
        <v>0</v>
      </c>
      <c r="I4" s="55">
        <f>IF($B5=0,0,IF($B6=0,0,(NTD!$C6+NTD!$C6*$B8)*NTD!$F6*$B2*NTD!F36/$B6+$B3*NTD!$C6/SUM(NTD!$C3:$C19)*$B2/0.8/NTD!$H36*NTD!F36/$B6+(NTD!$C6+NTD!$C6*$B8)*NTD!$F6/$B5*NTD!F36*$B4/$B6))</f>
        <v>0</v>
      </c>
      <c r="J4" s="55">
        <f>IF($B5=0,0,IF($B6=0,0,(NTD!$C6+NTD!$C6*$B8)*NTD!$F6*$B2*NTD!G36/$B6+$B3*NTD!$C6/SUM(NTD!$C3:$C19)*$B2/0.8/NTD!$H36*NTD!G36/$B6+(NTD!$C6+NTD!$C6*$B8)*NTD!$F6/$B5*NTD!G36*$B4/$B6))</f>
        <v>0</v>
      </c>
      <c r="K4" s="56">
        <f>IF($B5=0,0,(NTD!$C6+NTD!$C6*B8)*NTD!$F6*$B2*NTD!$H36+$B3*NTD!$C6/SUM(NTD!$C3:$C19)+(NTD!$C6+NTD!$C6*B8)*NTD!$F6/$B5*NTD!$H36*$B4)</f>
        <v>0</v>
      </c>
    </row>
    <row r="5" spans="1:12" ht="30.75" thickBot="1" x14ac:dyDescent="0.3">
      <c r="A5" s="4" t="s">
        <v>16</v>
      </c>
      <c r="B5" s="94"/>
      <c r="C5" s="2" t="s">
        <v>93</v>
      </c>
      <c r="D5" s="36" t="s">
        <v>33</v>
      </c>
      <c r="E5" s="61">
        <f>IF($B5=0,0,IF($B6=0,0,NTD!$G6*$B2*NTD!B36/$B6+$B3*NTD!$C6/SUM(NTD!$C3:$C19)*$B2/0.8/NTD!$H36*NTD!B36/$B6+NTD!$G6/$B5*NTD!B36*$B4/$B6))</f>
        <v>0</v>
      </c>
      <c r="F5" s="61">
        <f>IF($B5=0,0,IF($B6=0,0,NTD!$G6*$B2*NTD!C36/$B6+$B3*NTD!$C6/SUM(NTD!$C3:$C19)*$B2/0.8/NTD!$H36*NTD!C36/$B6+NTD!$G6/$B5*NTD!C36*$B4/$B6))</f>
        <v>0</v>
      </c>
      <c r="G5" s="61">
        <f>IF($B5=0,0,IF($B6=0,0,NTD!$G6*$B2*NTD!D36/$B6+$B3*NTD!$C6/SUM(NTD!$C3:$C19)*$B2/0.8/NTD!$H36*NTD!D36/$B6+NTD!$G6/$B5*NTD!D36*$B4/$B6))</f>
        <v>0</v>
      </c>
      <c r="H5" s="61">
        <f>IF($B5=0,0,IF($B6=0,0,NTD!$G6*$B2*NTD!E36/$B6+$B3*NTD!$C6/SUM(NTD!$C3:$C19)*$B2/0.8/NTD!$H36*NTD!E36/$B6+NTD!$G6/$B5*NTD!E36*$B4/$B6))</f>
        <v>0</v>
      </c>
      <c r="I5" s="61">
        <f>IF($B5=0,0,IF($B6=0,0,NTD!$G6*$B2*NTD!F36/$B6+$B3*NTD!$C6/SUM(NTD!$C3:$C19)*$B2/0.8/NTD!$H36*NTD!F36/$B6+NTD!$G6/$B5*NTD!F36*$B4/$B6))</f>
        <v>0</v>
      </c>
      <c r="J5" s="61">
        <f>IF($B5=0,0,IF($B6=0,0,NTD!$G6*$B2*NTD!G36/$B6+$B3*NTD!$C6/SUM(NTD!$C3:$C19)*$B2/0.8/NTD!$H36*NTD!G36/$B6+NTD!$G6/$B5*NTD!G36*$B4/$B6))</f>
        <v>0</v>
      </c>
      <c r="K5" s="62">
        <f>IF($B5=0,0,NTD!$G6*$B2*NTD!H36+$B3*NTD!$C6/SUM(NTD!$C3:$C19)+NTD!$G6/$B5*NTD!H36*$B4)</f>
        <v>0</v>
      </c>
    </row>
    <row r="6" spans="1:12" s="34" customFormat="1" x14ac:dyDescent="0.25">
      <c r="A6" s="4" t="s">
        <v>88</v>
      </c>
      <c r="B6" s="177"/>
      <c r="C6" s="97"/>
      <c r="D6" s="98"/>
      <c r="E6" s="99"/>
      <c r="F6" s="99"/>
      <c r="G6" s="99"/>
      <c r="H6" s="99"/>
      <c r="I6" s="99"/>
      <c r="J6" s="99"/>
      <c r="K6" s="99"/>
    </row>
    <row r="7" spans="1:12" s="34" customFormat="1" x14ac:dyDescent="0.25">
      <c r="A7" s="4" t="s">
        <v>89</v>
      </c>
      <c r="B7" s="178"/>
      <c r="C7" s="97"/>
      <c r="D7" s="98"/>
      <c r="E7" s="99"/>
      <c r="F7" s="99"/>
      <c r="G7" s="99"/>
      <c r="H7" s="99"/>
      <c r="I7" s="99"/>
      <c r="J7" s="99"/>
      <c r="K7" s="99"/>
    </row>
    <row r="8" spans="1:12" ht="15.75" thickBot="1" x14ac:dyDescent="0.3">
      <c r="A8" s="76" t="s">
        <v>73</v>
      </c>
      <c r="B8" s="95"/>
      <c r="C8" s="96"/>
      <c r="D8" s="34"/>
      <c r="E8" s="34"/>
      <c r="F8" s="34"/>
      <c r="G8" s="34"/>
      <c r="H8" s="34"/>
      <c r="I8" s="34"/>
      <c r="J8" s="34"/>
      <c r="K8" s="34"/>
    </row>
    <row r="9" spans="1:12" ht="15.75" thickBot="1" x14ac:dyDescent="0.3"/>
    <row r="10" spans="1:12" x14ac:dyDescent="0.25">
      <c r="H10" s="102"/>
      <c r="I10" s="86"/>
      <c r="J10" s="165" t="str">
        <f>IF(B6=453.6,"Criteria Air Pollutants Mitigated By Transit - Pounds",IF(B6=907200,"Criteria Air Pollutants Mitigated By Transit - Tons","Criteria Air Pollutants Mitigated By Transit"))</f>
        <v>Criteria Air Pollutants Mitigated By Transit</v>
      </c>
      <c r="K10" s="86"/>
      <c r="L10" s="87"/>
    </row>
    <row r="11" spans="1:12" ht="45" x14ac:dyDescent="0.25">
      <c r="H11" s="43" t="s">
        <v>75</v>
      </c>
      <c r="I11" s="42" t="s">
        <v>76</v>
      </c>
      <c r="J11" s="42" t="s">
        <v>77</v>
      </c>
      <c r="K11" s="42" t="s">
        <v>38</v>
      </c>
      <c r="L11" s="44" t="s">
        <v>78</v>
      </c>
    </row>
    <row r="12" spans="1:12" ht="15.75" thickBot="1" x14ac:dyDescent="0.3">
      <c r="H12" s="80">
        <f>IF($B6=0,0,NTD!$E6*$B2*SUM(NTD!B36:'NTD'!F36)/$B6)</f>
        <v>0</v>
      </c>
      <c r="I12" s="81">
        <f>IF(B6=0,0,B3*NTD!C6/SUM(NTD!C3:C19)*B2/0.8/NTD!H36*SUM(NTD!B36:'NTD'!F36)/$B6)</f>
        <v>0</v>
      </c>
      <c r="J12" s="81">
        <f>IF(B5=0,0,IF(B6=0,0,NTD!E6/B5*SUM(NTD!B36:'NTD'!F36)*B4/$B6))</f>
        <v>0</v>
      </c>
      <c r="K12" s="81">
        <f>-(E2+F2+G2+H2+I2)</f>
        <v>0</v>
      </c>
      <c r="L12" s="82">
        <f>H12+I12+J12+K12</f>
        <v>0</v>
      </c>
    </row>
    <row r="35" spans="8:12" ht="15.75" thickBot="1" x14ac:dyDescent="0.3"/>
    <row r="36" spans="8:12" x14ac:dyDescent="0.25">
      <c r="H36" s="102"/>
      <c r="I36" s="86"/>
      <c r="J36" s="165" t="str">
        <f>IF(B6=453.6,"Greenhouse Gas Savings From Transit - Pounds",IF(B6=907200,"Greenhouse Gas Savings From Transit - Tons","Greenhouse Gas Savings From Transit"))</f>
        <v>Greenhouse Gas Savings From Transit</v>
      </c>
      <c r="K36" s="86"/>
      <c r="L36" s="87"/>
    </row>
    <row r="37" spans="8:12" ht="45" x14ac:dyDescent="0.25">
      <c r="H37" s="42" t="s">
        <v>75</v>
      </c>
      <c r="I37" s="42" t="s">
        <v>76</v>
      </c>
      <c r="J37" s="42" t="s">
        <v>77</v>
      </c>
      <c r="K37" s="42" t="s">
        <v>38</v>
      </c>
      <c r="L37" s="42" t="s">
        <v>78</v>
      </c>
    </row>
    <row r="38" spans="8:12" x14ac:dyDescent="0.25">
      <c r="H38" s="83">
        <f>IF($B6=0,0,NTD!E6*B2*NTD!G36/$B6)</f>
        <v>0</v>
      </c>
      <c r="I38" s="83">
        <f>IF(B6=0,0,B3*NTD!C6/SUM(NTD!C3:C19)*B2/0.8/NTD!H36*NTD!G36/$B6)</f>
        <v>0</v>
      </c>
      <c r="J38" s="83">
        <f>IF(B5=0,0,IF(B6=0,0,NTD!E6/B5*NTD!G36*B4/$B6))</f>
        <v>0</v>
      </c>
      <c r="K38" s="83">
        <f>-J2</f>
        <v>0</v>
      </c>
      <c r="L38" s="83">
        <f>H38+I38+J38+K38</f>
        <v>0</v>
      </c>
    </row>
    <row r="60" spans="8:12" ht="15.75" thickBot="1" x14ac:dyDescent="0.3"/>
    <row r="61" spans="8:12" x14ac:dyDescent="0.25">
      <c r="H61" s="174" t="s">
        <v>79</v>
      </c>
      <c r="I61" s="169"/>
      <c r="J61" s="169"/>
      <c r="K61" s="169"/>
      <c r="L61" s="168"/>
    </row>
    <row r="62" spans="8:12" ht="45" x14ac:dyDescent="0.25">
      <c r="H62" s="43" t="s">
        <v>75</v>
      </c>
      <c r="I62" s="42" t="s">
        <v>76</v>
      </c>
      <c r="J62" s="42" t="s">
        <v>77</v>
      </c>
      <c r="K62" s="42" t="s">
        <v>83</v>
      </c>
      <c r="L62" s="44" t="s">
        <v>78</v>
      </c>
    </row>
    <row r="63" spans="8:12" ht="15.75" thickBot="1" x14ac:dyDescent="0.3">
      <c r="H63" s="77">
        <f>NTD!E6*B2*NTD!H36</f>
        <v>0</v>
      </c>
      <c r="I63" s="78">
        <f>IF(SUM(NTD!$C3:'NTD'!$C19)=0,0,B3*NTD!C6/SUM(NTD!C3:C19))</f>
        <v>0</v>
      </c>
      <c r="J63" s="78">
        <f>IF(B5=0,0,NTD!E6/B5*NTD!H36*B4)</f>
        <v>0</v>
      </c>
      <c r="K63" s="78">
        <f>-K2</f>
        <v>0</v>
      </c>
      <c r="L63" s="79">
        <f>H63+I63+J63+K63</f>
        <v>0</v>
      </c>
    </row>
  </sheetData>
  <mergeCells count="3">
    <mergeCell ref="A1:B1"/>
    <mergeCell ref="H61:L61"/>
    <mergeCell ref="B6:B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75" zoomScaleNormal="75" workbookViewId="0">
      <selection sqref="A1:B1"/>
    </sheetView>
  </sheetViews>
  <sheetFormatPr defaultRowHeight="15" x14ac:dyDescent="0.25"/>
  <cols>
    <col min="1" max="1" width="24.5703125" customWidth="1"/>
    <col min="2" max="2" width="15.5703125" customWidth="1"/>
    <col min="3" max="3" width="15.5703125" style="34" customWidth="1"/>
    <col min="4" max="11" width="17.5703125" customWidth="1"/>
    <col min="12" max="12" width="12.5703125" customWidth="1"/>
  </cols>
  <sheetData>
    <row r="1" spans="1:12" ht="15.75" thickBot="1" x14ac:dyDescent="0.3">
      <c r="A1" s="173">
        <f>NTD!C1</f>
        <v>0</v>
      </c>
      <c r="B1" s="169"/>
      <c r="C1" s="85"/>
      <c r="D1" s="39">
        <f>NTD!B1</f>
        <v>0</v>
      </c>
      <c r="E1" s="39" t="str">
        <f>IF($B6=453.6,"Nitrogen Oxides - Pounds",IF($B6=907200,"Nitrogen Oxides - Tons","Nitrogen Oxides"))</f>
        <v>Nitrogen Oxides</v>
      </c>
      <c r="F1" s="39" t="str">
        <f>IF($B6=453.6,"Hydrocarbons - Pounds",IF($B6=907200,"Hydrocarbons - Tons","Hydrocarbons"))</f>
        <v>Hydrocarbons</v>
      </c>
      <c r="G1" s="39" t="str">
        <f>IF($B6=453.6,"Carbon Monoxide - Pounds",IF($B6=907200,"Carbon Monoxide - Tons","Carbon Monoxide"))</f>
        <v>Carbon Monoxide</v>
      </c>
      <c r="H1" s="39" t="str">
        <f>IF($B6=453.6,"Particulate Matter - Pounds",IF($B6=907200,"Particulate Matter - Tons","Particulate Matter"))</f>
        <v>Particulate Matter</v>
      </c>
      <c r="I1" s="39" t="str">
        <f>IF($B6=453.6,"Sulfur Oxides - Pounds",IF($B6=907200,"Sulfur Oxides - Tons","Sulfur Oxides"))</f>
        <v>Sulfur Oxides</v>
      </c>
      <c r="J1" s="39" t="str">
        <f>IF($B6=453.6,"Greenhouse Gas - Pounds",IF($B6=907200,"Greenhouse Gas - Tons","Greenhouse Gas"))</f>
        <v>Greenhouse Gas</v>
      </c>
      <c r="K1" s="40" t="s">
        <v>35</v>
      </c>
    </row>
    <row r="2" spans="1:12" x14ac:dyDescent="0.25">
      <c r="A2" s="91" t="s">
        <v>51</v>
      </c>
      <c r="B2" s="92"/>
      <c r="C2" s="2" t="s">
        <v>90</v>
      </c>
      <c r="D2" s="101" t="s">
        <v>85</v>
      </c>
      <c r="E2" s="51">
        <f>IF($B6=0,0,NTD!$B7*NTD!B30/$B6)</f>
        <v>0</v>
      </c>
      <c r="F2" s="51">
        <f>IF($B6=0,0,NTD!$B7*NTD!C30/$B6)</f>
        <v>0</v>
      </c>
      <c r="G2" s="51">
        <f>IF($B6=0,0,NTD!$B7*NTD!D30/$B6)</f>
        <v>0</v>
      </c>
      <c r="H2" s="51">
        <f>IF($B6=0,0,NTD!$B7*NTD!E30/$B6)</f>
        <v>0</v>
      </c>
      <c r="I2" s="51">
        <f>IF($B6=0,0,NTD!$B7*NTD!F30/$B6)</f>
        <v>0</v>
      </c>
      <c r="J2" s="51">
        <f>IF($B6=0,0,NTD!$B7*NTD!G30/$B6)</f>
        <v>0</v>
      </c>
      <c r="K2" s="41">
        <f>NTD!$B7/NTD!H30</f>
        <v>0</v>
      </c>
    </row>
    <row r="3" spans="1:12" x14ac:dyDescent="0.25">
      <c r="A3" s="4" t="s">
        <v>8</v>
      </c>
      <c r="B3" s="93"/>
      <c r="C3" s="3" t="s">
        <v>91</v>
      </c>
      <c r="D3" s="35" t="s">
        <v>34</v>
      </c>
      <c r="E3" s="55">
        <f>IF($B5=0,0,IF($B6=0,0,NTD!$E7*$B2*NTD!B36/$B6+$B3*NTD!$C7/SUM(NTD!$C3:$C19)*$B2/0.8/NTD!$H36*NTD!B36/$B6+NTD!$E7/$B5*NTD!B36*$B4/$B6))</f>
        <v>0</v>
      </c>
      <c r="F3" s="55">
        <f>IF($B5=0,0,IF($B6=0,0,NTD!$E7*$B2*NTD!C36/$B6+$B3*NTD!$C7/SUM(NTD!$C3:$C19)*$B2/0.8/NTD!$H36*NTD!C36/$B6+NTD!$E7/$B5*NTD!C36*$B4/$B6))</f>
        <v>0</v>
      </c>
      <c r="G3" s="55">
        <f>IF($B5=0,0,IF($B6=0,0,NTD!$E7*$B2*NTD!D36/$B6+$B3*NTD!$C7/SUM(NTD!$C3:$C19)*$B2/0.8/NTD!$H36*NTD!D36/$B6+NTD!$E7/$B5*NTD!D36*$B4/$B6))</f>
        <v>0</v>
      </c>
      <c r="H3" s="55">
        <f>IF($B5=0,0,IF($B6=0,0,NTD!$E7*$B2*NTD!E36/$B6+$B3*NTD!$C7/SUM(NTD!$C3:$C19)*$B2/0.8/NTD!$H36*NTD!E36/$B6+NTD!$E7/$B5*NTD!E36*$B4/$B6))</f>
        <v>0</v>
      </c>
      <c r="I3" s="55">
        <f>IF($B5=0,0,IF($B6=0,0,NTD!$E7*$B2*NTD!F36/$B6+$B3*NTD!$C7/SUM(NTD!$C3:$C19)*$B2/0.8/NTD!$H36*NTD!F36/$B6+NTD!$E7/$B5*NTD!F36*$B4/$B6))</f>
        <v>0</v>
      </c>
      <c r="J3" s="55">
        <f>IF($B5=0,0,IF($B6=0,0,NTD!$E7*$B2*NTD!G36/$B6+$B3*NTD!$C7/SUM(NTD!$C3:$C19)*$B2/0.8/NTD!$H36*NTD!G36/$B6+NTD!$E7/$B5*NTD!G36*$B4/$B6))</f>
        <v>0</v>
      </c>
      <c r="K3" s="56">
        <f>IF($B5=0,0,NTD!$E7*$B2*NTD!H36+$B3*NTD!$C7/SUM(NTD!C3:C19)+NTD!$E7/$B5*NTD!H36*$B4)</f>
        <v>0</v>
      </c>
    </row>
    <row r="4" spans="1:12" x14ac:dyDescent="0.25">
      <c r="A4" s="4" t="s">
        <v>14</v>
      </c>
      <c r="B4" s="94"/>
      <c r="C4" s="2" t="s">
        <v>92</v>
      </c>
      <c r="D4" s="35" t="s">
        <v>37</v>
      </c>
      <c r="E4" s="55">
        <f>IF($B5=0,0,IF($B6=0,0,(NTD!$C7+NTD!$C7*$B8)*NTD!$F7*$B2*NTD!B36/$B6+$B3*NTD!$C7/SUM(NTD!$C3:$C19)*$B2/0.8/NTD!$H36*NTD!B36/$B6+(NTD!$C7+NTD!$C7*$B8)*NTD!$F7/$B5*NTD!B36*$B4/$B6))</f>
        <v>0</v>
      </c>
      <c r="F4" s="55">
        <f>IF($B5=0,0,IF($B6=0,0,(NTD!$C7+NTD!$C7*$B8)*NTD!$F7*$B2*NTD!C36/$B6+$B3*NTD!$C7/SUM(NTD!$C3:$C19)*$B2/0.8/NTD!$H36*NTD!C36/$B6+(NTD!$C7+NTD!$C7*$B8)*NTD!$F7/$B5*NTD!C36*$B4/$B6))</f>
        <v>0</v>
      </c>
      <c r="G4" s="55">
        <f>IF($B5=0,0,IF($B6=0,0,(NTD!$C7+NTD!$C7*$B8)*NTD!$F7*$B2*NTD!D36/$B6+$B3*NTD!$C7/SUM(NTD!$C3:$C19)*$B2/0.8/NTD!$H36*NTD!D36/$B6+(NTD!$C7+NTD!$C7*$B8)*NTD!$F7/$B5*NTD!D36*$B4/$B6))</f>
        <v>0</v>
      </c>
      <c r="H4" s="55">
        <f>IF($B5=0,0,IF($B6=0,0,(NTD!$C7+NTD!$C7*$B8)*NTD!$F7*$B2*NTD!E36/$B6+$B3*NTD!$C7/SUM(NTD!$C3:$C19)*$B2/0.8/NTD!$H36*NTD!E36/$B6+(NTD!$C7+NTD!$C7*$B8)*NTD!$F7/$B5*NTD!E36*$B4/$B6))</f>
        <v>0</v>
      </c>
      <c r="I4" s="55">
        <f>IF($B5=0,0,IF($B6=0,0,(NTD!$C7+NTD!$C7*$B8)*NTD!$F7*$B2*NTD!F36/$B6+$B3*NTD!$C7/SUM(NTD!$C3:$C19)*$B2/0.8/NTD!$H36*NTD!F36/$B6+(NTD!$C7+NTD!$C7*$B8)*NTD!$F7/$B5*NTD!F36*$B4/$B6))</f>
        <v>0</v>
      </c>
      <c r="J4" s="55">
        <f>IF($B5=0,0,IF($B6=0,0,(NTD!$C7+NTD!$C7*$B8)*NTD!$F7*$B2*NTD!G36/$B6+$B3*NTD!$C7/SUM(NTD!$C3:$C19)*$B2/0.8/NTD!$H36*NTD!G36/$B6+(NTD!$C7+NTD!$C7*$B8)*NTD!$F7/$B5*NTD!G36*$B4/$B6))</f>
        <v>0</v>
      </c>
      <c r="K4" s="56">
        <f>IF($B5=0,0,(NTD!$C7+NTD!$C7*B8)*NTD!$F7*$B2*NTD!$H36+$B3*NTD!$C7/SUM(NTD!$C3:$C19)+(NTD!$C7+NTD!$C7*B8)*NTD!$F7/$B5*NTD!$H36*$B4)</f>
        <v>0</v>
      </c>
    </row>
    <row r="5" spans="1:12" ht="30.75" thickBot="1" x14ac:dyDescent="0.3">
      <c r="A5" s="4" t="s">
        <v>16</v>
      </c>
      <c r="B5" s="94"/>
      <c r="C5" s="2" t="s">
        <v>93</v>
      </c>
      <c r="D5" s="36" t="s">
        <v>33</v>
      </c>
      <c r="E5" s="61">
        <f>IF($B5=0,0,IF($B6=0,0,NTD!$G7*$B2*NTD!B36/$B6+$B3*NTD!$C7/SUM(NTD!$C3:$C19)*$B2/0.8/NTD!$H36*NTD!B36/$B6+NTD!$G7/$B5*NTD!B36*$B4/$B6))</f>
        <v>0</v>
      </c>
      <c r="F5" s="61">
        <f>IF($B5=0,0,IF($B6=0,0,NTD!$G7*$B2*NTD!C36/$B6+$B3*NTD!$C7/SUM(NTD!$C3:$C19)*$B2/0.8/NTD!$H36*NTD!C36/$B6+NTD!$G7/$B5*NTD!C36*$B4/$B6))</f>
        <v>0</v>
      </c>
      <c r="G5" s="61">
        <f>IF($B5=0,0,IF($B6=0,0,NTD!$G7*$B2*NTD!D36/$B6+$B3*NTD!$C7/SUM(NTD!$C3:$C19)*$B2/0.8/NTD!$H36*NTD!D36/$B6+NTD!$G7/$B5*NTD!D36*$B4/$B6))</f>
        <v>0</v>
      </c>
      <c r="H5" s="61">
        <f>IF($B5=0,0,IF($B6=0,0,NTD!$G7*$B2*NTD!E36/$B6+$B3*NTD!$C7/SUM(NTD!$C3:$C19)*$B2/0.8/NTD!$H36*NTD!E36/$B6+NTD!$G7/$B5*NTD!E36*$B4/$B6))</f>
        <v>0</v>
      </c>
      <c r="I5" s="61">
        <f>IF($B5=0,0,IF($B6=0,0,NTD!$G7*$B2*NTD!F36/$B6+$B3*NTD!$C7/SUM(NTD!$C3:$C19)*$B2/0.8/NTD!$H36*NTD!F36/$B6+NTD!$G7/$B5*NTD!F36*$B4/$B6))</f>
        <v>0</v>
      </c>
      <c r="J5" s="61">
        <f>IF($B5=0,0,IF($B6=0,0,NTD!$G7*$B2*NTD!G36/$B6+$B3*NTD!$C7/SUM(NTD!$C3:$C19)*$B2/0.8/NTD!$H36*NTD!G36/$B6+NTD!$G7/$B5*NTD!G36*$B4/$B6))</f>
        <v>0</v>
      </c>
      <c r="K5" s="62">
        <f>IF($B5=0,0,NTD!$G7*$B2*NTD!H36+$B3*NTD!$C7/SUM(NTD!$C3:$C19)+NTD!$G7/$B5*NTD!H36*$B4)</f>
        <v>0</v>
      </c>
    </row>
    <row r="6" spans="1:12" s="34" customFormat="1" x14ac:dyDescent="0.25">
      <c r="A6" s="4" t="s">
        <v>88</v>
      </c>
      <c r="B6" s="177"/>
      <c r="C6" s="97"/>
      <c r="D6" s="98"/>
      <c r="E6" s="99"/>
      <c r="F6" s="99"/>
      <c r="G6" s="99"/>
      <c r="H6" s="99"/>
      <c r="I6" s="99"/>
      <c r="J6" s="99"/>
      <c r="K6" s="99"/>
    </row>
    <row r="7" spans="1:12" s="34" customFormat="1" x14ac:dyDescent="0.25">
      <c r="A7" s="4" t="s">
        <v>89</v>
      </c>
      <c r="B7" s="178"/>
      <c r="C7" s="97"/>
      <c r="D7" s="98"/>
      <c r="E7" s="99"/>
      <c r="F7" s="99"/>
      <c r="G7" s="99"/>
      <c r="H7" s="99"/>
      <c r="I7" s="99"/>
      <c r="J7" s="99"/>
      <c r="K7" s="99"/>
    </row>
    <row r="8" spans="1:12" ht="15.75" thickBot="1" x14ac:dyDescent="0.3">
      <c r="A8" s="76" t="s">
        <v>73</v>
      </c>
      <c r="B8" s="95"/>
      <c r="C8" s="96"/>
      <c r="D8" s="34"/>
      <c r="E8" s="34"/>
      <c r="F8" s="34"/>
      <c r="G8" s="34"/>
      <c r="H8" s="34"/>
      <c r="I8" s="34"/>
      <c r="J8" s="34"/>
      <c r="K8" s="34"/>
    </row>
    <row r="9" spans="1:12" ht="15.75" thickBot="1" x14ac:dyDescent="0.3"/>
    <row r="10" spans="1:12" x14ac:dyDescent="0.25">
      <c r="H10" s="102"/>
      <c r="I10" s="86"/>
      <c r="J10" s="165" t="str">
        <f>IF(B6=453.6,"Criteria Air Pollutants Mitigated By Transit - Pounds",IF(B6=907200,"Criteria Air Pollutants Mitigated By Transit - Tons","Criteria Air Pollutants Mitigated By Transit"))</f>
        <v>Criteria Air Pollutants Mitigated By Transit</v>
      </c>
      <c r="K10" s="86"/>
      <c r="L10" s="87"/>
    </row>
    <row r="11" spans="1:12" ht="45" x14ac:dyDescent="0.25">
      <c r="H11" s="43" t="s">
        <v>75</v>
      </c>
      <c r="I11" s="42" t="s">
        <v>76</v>
      </c>
      <c r="J11" s="42" t="s">
        <v>77</v>
      </c>
      <c r="K11" s="42" t="s">
        <v>38</v>
      </c>
      <c r="L11" s="44" t="s">
        <v>78</v>
      </c>
    </row>
    <row r="12" spans="1:12" ht="15.75" thickBot="1" x14ac:dyDescent="0.3">
      <c r="H12" s="80">
        <f>IF($B6=0,0,NTD!$E7*$B2*SUM(NTD!B36:'NTD'!F36)/$B6)</f>
        <v>0</v>
      </c>
      <c r="I12" s="81">
        <f>IF(B6=0,0,B3*NTD!C7/SUM(NTD!C3:C19)*B2/0.8/NTD!H36*SUM(NTD!B36:'NTD'!F36)/$B6)</f>
        <v>0</v>
      </c>
      <c r="J12" s="81">
        <f>IF(B5=0,0,IF(B6=0,0,NTD!E7/B5*SUM(NTD!B36:'NTD'!F36)*B4/$B6))</f>
        <v>0</v>
      </c>
      <c r="K12" s="81">
        <f>-(E2+F2+G2+H2+I2)</f>
        <v>0</v>
      </c>
      <c r="L12" s="82">
        <f>H12+I12+J12+K12</f>
        <v>0</v>
      </c>
    </row>
    <row r="35" spans="8:12" ht="15.75" thickBot="1" x14ac:dyDescent="0.3"/>
    <row r="36" spans="8:12" x14ac:dyDescent="0.25">
      <c r="H36" s="102"/>
      <c r="I36" s="86"/>
      <c r="J36" s="165" t="str">
        <f>IF(B6=453.6,"Greenhouse Gas Savings From Transit - Pounds",IF(B6=907200,"Greenhouse Gas Savings From Transit - Tons","Greenhouse Gas Savings From Transit"))</f>
        <v>Greenhouse Gas Savings From Transit</v>
      </c>
      <c r="K36" s="86"/>
      <c r="L36" s="87"/>
    </row>
    <row r="37" spans="8:12" ht="45" x14ac:dyDescent="0.25">
      <c r="H37" s="43" t="s">
        <v>75</v>
      </c>
      <c r="I37" s="42" t="s">
        <v>76</v>
      </c>
      <c r="J37" s="42" t="s">
        <v>77</v>
      </c>
      <c r="K37" s="42" t="s">
        <v>38</v>
      </c>
      <c r="L37" s="44" t="s">
        <v>78</v>
      </c>
    </row>
    <row r="38" spans="8:12" ht="15.75" thickBot="1" x14ac:dyDescent="0.3">
      <c r="H38" s="103">
        <f>IF($B6=0,0,NTD!E7*B2*NTD!G36/$B6)</f>
        <v>0</v>
      </c>
      <c r="I38" s="104">
        <f>IF(B6=0,0,B3*NTD!C7/SUM(NTD!C3:C19)*B2/0.8/NTD!H36*NTD!G36/$B6)</f>
        <v>0</v>
      </c>
      <c r="J38" s="104">
        <f>IF(B5=0,0,IF(B6=0,0,NTD!E7/B5*NTD!G36*B4/$B6))</f>
        <v>0</v>
      </c>
      <c r="K38" s="104">
        <f>-J2</f>
        <v>0</v>
      </c>
      <c r="L38" s="105">
        <f>H38+I38+J38+K38</f>
        <v>0</v>
      </c>
    </row>
    <row r="60" spans="8:12" ht="15.75" thickBot="1" x14ac:dyDescent="0.3"/>
    <row r="61" spans="8:12" x14ac:dyDescent="0.25">
      <c r="H61" s="174" t="s">
        <v>79</v>
      </c>
      <c r="I61" s="169"/>
      <c r="J61" s="169"/>
      <c r="K61" s="169"/>
      <c r="L61" s="168"/>
    </row>
    <row r="62" spans="8:12" ht="45" x14ac:dyDescent="0.25">
      <c r="H62" s="43" t="s">
        <v>75</v>
      </c>
      <c r="I62" s="42" t="s">
        <v>76</v>
      </c>
      <c r="J62" s="42" t="s">
        <v>77</v>
      </c>
      <c r="K62" s="42" t="s">
        <v>83</v>
      </c>
      <c r="L62" s="44" t="s">
        <v>78</v>
      </c>
    </row>
    <row r="63" spans="8:12" ht="15.75" thickBot="1" x14ac:dyDescent="0.3">
      <c r="H63" s="77">
        <f>NTD!E7*B2*NTD!H36</f>
        <v>0</v>
      </c>
      <c r="I63" s="78">
        <f>IF(SUM(NTD!$C3:'NTD'!$C19)=0,0,B3*NTD!C7/SUM(NTD!C3:C19))</f>
        <v>0</v>
      </c>
      <c r="J63" s="78">
        <f>IF(B5=0,0,NTD!E7/B5*NTD!H36*B4)</f>
        <v>0</v>
      </c>
      <c r="K63" s="78">
        <f>-K2</f>
        <v>0</v>
      </c>
      <c r="L63" s="79">
        <f>H63+I63+J63+K63</f>
        <v>0</v>
      </c>
    </row>
  </sheetData>
  <mergeCells count="3">
    <mergeCell ref="A1:B1"/>
    <mergeCell ref="H61:L61"/>
    <mergeCell ref="B6:B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75" zoomScaleNormal="75" workbookViewId="0">
      <selection sqref="A1:B1"/>
    </sheetView>
  </sheetViews>
  <sheetFormatPr defaultRowHeight="15" x14ac:dyDescent="0.25"/>
  <cols>
    <col min="1" max="1" width="24.5703125" customWidth="1"/>
    <col min="2" max="2" width="15.5703125" customWidth="1"/>
    <col min="3" max="3" width="15.5703125" style="34" customWidth="1"/>
    <col min="4" max="11" width="17.5703125" customWidth="1"/>
    <col min="12" max="12" width="12.5703125" customWidth="1"/>
  </cols>
  <sheetData>
    <row r="1" spans="1:14" ht="15.75" thickBot="1" x14ac:dyDescent="0.3">
      <c r="A1" s="173">
        <f>NTD!C1</f>
        <v>0</v>
      </c>
      <c r="B1" s="169"/>
      <c r="C1" s="88"/>
      <c r="D1" s="39">
        <f>NTD!B1</f>
        <v>0</v>
      </c>
      <c r="E1" s="39" t="str">
        <f>IF($B6=453.6,"Nitrogen Oxides - Pounds",IF($B6=907200,"Nitrogen Oxides - Tons","Nitrogen Oxides"))</f>
        <v>Nitrogen Oxides</v>
      </c>
      <c r="F1" s="39" t="str">
        <f>IF($B6=453.6,"Hydrocarbons - Pounds",IF($B6=907200,"Hydrocarbons - Tons","Hydrocarbons"))</f>
        <v>Hydrocarbons</v>
      </c>
      <c r="G1" s="39" t="str">
        <f>IF($B6=453.6,"Carbon Monoxide - Pounds",IF($B6=907200,"Carbon Monoxide - Tons","Carbon Monoxide"))</f>
        <v>Carbon Monoxide</v>
      </c>
      <c r="H1" s="39" t="str">
        <f>IF($B6=453.6,"Particulate Matter - Pounds",IF($B6=907200,"Particulate Matter - Tons","Particulate Matter"))</f>
        <v>Particulate Matter</v>
      </c>
      <c r="I1" s="39" t="str">
        <f>IF($B6=453.6,"Sulfur Oxides - Pounds",IF($B6=907200,"Sulfur Oxides - Tons","Sulfur Oxides"))</f>
        <v>Sulfur Oxides</v>
      </c>
      <c r="J1" s="39" t="str">
        <f>IF($B6=453.6,"Greenhouse Gas - Pounds",IF($B6=907200,"Greenhouse Gas - Tons","Greenhouse Gas"))</f>
        <v>Greenhouse Gas</v>
      </c>
      <c r="K1" s="40" t="s">
        <v>35</v>
      </c>
    </row>
    <row r="2" spans="1:14" x14ac:dyDescent="0.25">
      <c r="A2" s="91" t="s">
        <v>51</v>
      </c>
      <c r="B2" s="92"/>
      <c r="C2" s="2" t="s">
        <v>90</v>
      </c>
      <c r="D2" s="101" t="s">
        <v>86</v>
      </c>
      <c r="E2" s="51">
        <f>IF($B6=0,0,NTD!$B8*NTD!B30/$B6)</f>
        <v>0</v>
      </c>
      <c r="F2" s="51">
        <f>IF($B6=0,0,NTD!$B8*NTD!C30/$B6)</f>
        <v>0</v>
      </c>
      <c r="G2" s="51">
        <f>IF($B6=0,0,NTD!$B8*NTD!D30/$B6)</f>
        <v>0</v>
      </c>
      <c r="H2" s="51">
        <f>IF($B6=0,0,NTD!$B8*NTD!E30/$B6)</f>
        <v>0</v>
      </c>
      <c r="I2" s="51">
        <f>IF($B6=0,0,NTD!$B8*NTD!F30/$B6)</f>
        <v>0</v>
      </c>
      <c r="J2" s="51">
        <f>IF($B6=0,0,NTD!$B8*NTD!G30/$B6)</f>
        <v>0</v>
      </c>
      <c r="K2" s="41">
        <f>NTD!$B8/NTD!H30</f>
        <v>0</v>
      </c>
    </row>
    <row r="3" spans="1:14" x14ac:dyDescent="0.25">
      <c r="A3" s="4" t="s">
        <v>8</v>
      </c>
      <c r="B3" s="93"/>
      <c r="C3" s="3" t="s">
        <v>91</v>
      </c>
      <c r="D3" s="35" t="s">
        <v>34</v>
      </c>
      <c r="E3" s="55">
        <f>IF($B5=0,0,IF($B6=0,0,NTD!$E8*$B2*NTD!B36/$B6+$B3*NTD!$C8/SUM(NTD!$C3:$C19)*$B2/0.8/NTD!$H36*NTD!B36/$B6+NTD!$E8/$B5*NTD!B36*$B4/$B6))</f>
        <v>0</v>
      </c>
      <c r="F3" s="55">
        <f>IF($B5=0,0,IF($B6=0,0,NTD!$E8*$B2*NTD!C36/$B6+$B3*NTD!$C8/SUM(NTD!$C3:$C19)*$B2/0.8/NTD!$H36*NTD!C36/$B6+NTD!$E8/$B5*NTD!C36*$B4/$B6))</f>
        <v>0</v>
      </c>
      <c r="G3" s="55">
        <f>IF($B5=0,0,IF($B6=0,0,NTD!$E8*$B2*NTD!D36/$B6+$B3*NTD!$C8/SUM(NTD!$C3:$C19)*$B2/0.8/NTD!$H36*NTD!D36/$B6+NTD!$E8/$B5*NTD!D36*$B4/$B6))</f>
        <v>0</v>
      </c>
      <c r="H3" s="55">
        <f>IF($B5=0,0,IF($B6=0,0,NTD!$E8*$B2*NTD!E36/$B6+$B3*NTD!$C8/SUM(NTD!$C3:$C19)*$B2/0.8/NTD!$H36*NTD!E36/$B6+NTD!$E8/$B5*NTD!E36*$B4/$B6))</f>
        <v>0</v>
      </c>
      <c r="I3" s="55">
        <f>IF($B5=0,0,IF($B6=0,0,NTD!$E8*$B2*NTD!F36/$B6+$B3*NTD!$C8/SUM(NTD!$C3:$C19)*$B2/0.8/NTD!$H36*NTD!F36/$B6+NTD!$E8/$B5*NTD!F36*$B4/$B6))</f>
        <v>0</v>
      </c>
      <c r="J3" s="55">
        <f>IF($B5=0,0,IF($B6=0,0,NTD!$E8*$B2*NTD!G36/$B6+$B3*NTD!$C8/SUM(NTD!$C3:$C19)*$B2/0.8/NTD!$H36*NTD!G36/$B6+NTD!$E8/$B5*NTD!G36*$B4/$B6))</f>
        <v>0</v>
      </c>
      <c r="K3" s="56">
        <f>IF($B5=0,0,NTD!$E8*$B2*NTD!H36+$B3*NTD!$C8/SUM(NTD!C3:C19)+NTD!$E8/$B5*NTD!H36*$B4)</f>
        <v>0</v>
      </c>
    </row>
    <row r="4" spans="1:14" x14ac:dyDescent="0.25">
      <c r="A4" s="4" t="s">
        <v>14</v>
      </c>
      <c r="B4" s="94"/>
      <c r="C4" s="2" t="s">
        <v>92</v>
      </c>
      <c r="D4" s="35" t="s">
        <v>37</v>
      </c>
      <c r="E4" s="55">
        <f>IF($B5=0,0,IF($B6=0,0,(NTD!$C8+NTD!$C8*$B8)*NTD!$F8*$B2*NTD!B36/$B6+$B3*NTD!$C8/SUM(NTD!$C3:$C19)*$B2/0.8/NTD!$H36*NTD!B36/$B6+(NTD!$C8+NTD!$C8*$B8)*NTD!$F8/$B5*NTD!B36*$B4/$B6))</f>
        <v>0</v>
      </c>
      <c r="F4" s="55">
        <f>IF($B5=0,0,IF($B6=0,0,(NTD!$C8+NTD!$C8*$B8)*NTD!$F8*$B2*NTD!C36/$B6+$B3*NTD!$C8/SUM(NTD!$C3:$C19)*$B2/0.8/NTD!$H36*NTD!C36/$B6+(NTD!$C8+NTD!$C8*$B8)*NTD!$F8/$B5*NTD!C36*$B4/$B6))</f>
        <v>0</v>
      </c>
      <c r="G4" s="55">
        <f>IF($B5=0,0,IF($B6=0,0,(NTD!$C8+NTD!$C8*$B8)*NTD!$F8*$B2*NTD!D36/$B6+$B3*NTD!$C8/SUM(NTD!$C3:$C19)*$B2/0.8/NTD!$H36*NTD!D36/$B6+(NTD!$C8+NTD!$C8*$B8)*NTD!$F8/$B5*NTD!D36*$B4/$B6))</f>
        <v>0</v>
      </c>
      <c r="H4" s="55">
        <f>IF($B5=0,0,IF($B6=0,0,(NTD!$C8+NTD!$C8*$B8)*NTD!$F8*$B2*NTD!E36/$B6+$B3*NTD!$C8/SUM(NTD!$C3:$C19)*$B2/0.8/NTD!$H36*NTD!E36/$B6+(NTD!$C8+NTD!$C8*$B8)*NTD!$F8/$B5*NTD!E36*$B4/$B6))</f>
        <v>0</v>
      </c>
      <c r="I4" s="55">
        <f>IF($B5=0,0,IF($B6=0,0,(NTD!$C8+NTD!$C8*$B8)*NTD!$F8*$B2*NTD!F36/$B6+$B3*NTD!$C8/SUM(NTD!$C3:$C19)*$B2/0.8/NTD!$H36*NTD!F36/$B6+(NTD!$C8+NTD!$C8*$B8)*NTD!$F8/$B5*NTD!F36*$B4/$B6))</f>
        <v>0</v>
      </c>
      <c r="J4" s="55">
        <f>IF($B5=0,0,IF($B6=0,0,(NTD!$C8+NTD!$C8*$B8)*NTD!$F8*$B2*NTD!G36/$B6+$B3*NTD!$C8/SUM(NTD!$C3:$C19)*$B2/0.8/NTD!$H36*NTD!G36/$B6+(NTD!$C8+NTD!$C8*$B8)*NTD!$F8/$B5*NTD!G36*$B4/$B6))</f>
        <v>0</v>
      </c>
      <c r="K4" s="56">
        <f>IF($B5=0,0,(NTD!$C8+NTD!$C8*B8)*NTD!$F8*$B2*NTD!$H36+$B3*NTD!$C8/SUM(NTD!$C3:$C19)+(NTD!$C8+NTD!$C8*B8)*NTD!$F8/$B5*NTD!$H36*$B4)</f>
        <v>0</v>
      </c>
    </row>
    <row r="5" spans="1:14" ht="30.75" thickBot="1" x14ac:dyDescent="0.3">
      <c r="A5" s="4" t="s">
        <v>16</v>
      </c>
      <c r="B5" s="94"/>
      <c r="C5" s="2" t="s">
        <v>93</v>
      </c>
      <c r="D5" s="36" t="s">
        <v>33</v>
      </c>
      <c r="E5" s="61">
        <f>IF($B5=0,0,IF($B6=0,0,NTD!$G8*$B2*NTD!B36/$B6+$B3*NTD!$C8/SUM(NTD!$C3:$C19)*$B2/0.8/NTD!$H36*NTD!B36/$B6+NTD!$G8/$B5*NTD!B36*$B4/$B6))</f>
        <v>0</v>
      </c>
      <c r="F5" s="61">
        <f>IF($B5=0,0,IF($B6=0,0,NTD!$G8*$B2*NTD!C36/$B6+$B3*NTD!$C8/SUM(NTD!$C3:$C19)*$B2/0.8/NTD!$H36*NTD!C36/$B6+NTD!$G8/$B5*NTD!C36*$B4/$B6))</f>
        <v>0</v>
      </c>
      <c r="G5" s="61">
        <f>IF($B5=0,0,IF($B6=0,0,NTD!$G8*$B2*NTD!D36/$B6+$B3*NTD!$C8/SUM(NTD!$C3:$C19)*$B2/0.8/NTD!$H36*NTD!D36/$B6+NTD!$G8/$B5*NTD!D36*$B4/$B6))</f>
        <v>0</v>
      </c>
      <c r="H5" s="61">
        <f>IF($B5=0,0,IF($B6=0,0,NTD!$G8*$B2*NTD!E36/$B6+$B3*NTD!$C8/SUM(NTD!$C3:$C19)*$B2/0.8/NTD!$H36*NTD!E36/$B6+NTD!$G8/$B5*NTD!E36*$B4/$B6))</f>
        <v>0</v>
      </c>
      <c r="I5" s="61">
        <f>IF($B5=0,0,IF($B6=0,0,NTD!$G8*$B2*NTD!F36/$B6+$B3*NTD!$C8/SUM(NTD!$C3:$C19)*$B2/0.8/NTD!$H36*NTD!F36/$B6+NTD!$G8/$B5*NTD!F36*$B4/$B6))</f>
        <v>0</v>
      </c>
      <c r="J5" s="61">
        <f>IF($B5=0,0,IF($B6=0,0,NTD!$G8*$B2*NTD!G36/$B6+$B3*NTD!$C8/SUM(NTD!$C3:$C19)*$B2/0.8/NTD!$H36*NTD!G36/$B6+NTD!$G8/$B5*NTD!G36*$B4/$B6))</f>
        <v>0</v>
      </c>
      <c r="K5" s="62">
        <f>IF($B5=0,0,NTD!$G8*$B2*NTD!H36+$B3*NTD!$C8/SUM(NTD!$C3:$C19)+NTD!$G8/$B5*NTD!H36*$B4)</f>
        <v>0</v>
      </c>
    </row>
    <row r="6" spans="1:14" s="34" customFormat="1" x14ac:dyDescent="0.25">
      <c r="A6" s="4" t="s">
        <v>88</v>
      </c>
      <c r="B6" s="177"/>
      <c r="C6" s="97"/>
      <c r="D6" s="98"/>
      <c r="E6" s="99"/>
      <c r="F6" s="99"/>
      <c r="G6" s="99"/>
      <c r="H6" s="99"/>
      <c r="I6" s="99"/>
      <c r="J6" s="99"/>
      <c r="K6" s="99"/>
    </row>
    <row r="7" spans="1:14" s="34" customFormat="1" x14ac:dyDescent="0.25">
      <c r="A7" s="4" t="s">
        <v>89</v>
      </c>
      <c r="B7" s="178"/>
      <c r="C7" s="97"/>
      <c r="D7" s="98"/>
      <c r="E7" s="99"/>
      <c r="F7" s="99"/>
      <c r="G7" s="99"/>
      <c r="H7" s="99"/>
      <c r="I7" s="99"/>
      <c r="J7" s="99"/>
      <c r="K7" s="99"/>
    </row>
    <row r="8" spans="1:14" ht="15.75" thickBot="1" x14ac:dyDescent="0.3">
      <c r="A8" s="76" t="s">
        <v>73</v>
      </c>
      <c r="B8" s="95"/>
      <c r="C8" s="96"/>
      <c r="D8" s="34"/>
      <c r="E8" s="34"/>
      <c r="F8" s="34"/>
      <c r="G8" s="34"/>
      <c r="H8" s="34"/>
      <c r="I8" s="34"/>
      <c r="J8" s="34"/>
      <c r="K8" s="34"/>
    </row>
    <row r="9" spans="1:14" ht="15.75" thickBot="1" x14ac:dyDescent="0.3"/>
    <row r="10" spans="1:14" x14ac:dyDescent="0.25">
      <c r="H10" s="102"/>
      <c r="I10" s="107"/>
      <c r="J10" s="165" t="str">
        <f>IF(B6=453.6,"Criteria Air Pollutants Mitigated By Transit - Pounds",IF(B6=907200,"Criteria Air Pollutants Mitigated By Transit - Tons","Criteria Air Pollutants Mitigated By Transit"))</f>
        <v>Criteria Air Pollutants Mitigated By Transit</v>
      </c>
      <c r="K10" s="89"/>
      <c r="L10" s="90"/>
      <c r="M10" s="108"/>
      <c r="N10" s="109"/>
    </row>
    <row r="11" spans="1:14" ht="45" x14ac:dyDescent="0.25">
      <c r="H11" s="43" t="s">
        <v>75</v>
      </c>
      <c r="I11" s="42" t="s">
        <v>76</v>
      </c>
      <c r="J11" s="42" t="s">
        <v>77</v>
      </c>
      <c r="K11" s="42" t="s">
        <v>38</v>
      </c>
      <c r="L11" s="44" t="s">
        <v>78</v>
      </c>
    </row>
    <row r="12" spans="1:14" ht="15.75" thickBot="1" x14ac:dyDescent="0.3">
      <c r="H12" s="80">
        <f>IF($B6=0,0,NTD!$E8*$B2*SUM(NTD!B36:'NTD'!F36)/$B6)</f>
        <v>0</v>
      </c>
      <c r="I12" s="81">
        <f>IF(B6=0,0,B3*NTD!C8/SUM(NTD!C3:C19)*B2/0.8/NTD!H36*SUM(NTD!B36:'NTD'!F36)/$B6)</f>
        <v>0</v>
      </c>
      <c r="J12" s="81">
        <f>IF(B5=0,0,IF(B6=0,0,NTD!E8/B5*SUM(NTD!B36:'NTD'!F36)*B4/$B6))</f>
        <v>0</v>
      </c>
      <c r="K12" s="81">
        <f>-(E2+F2+G2+H2+I2)</f>
        <v>0</v>
      </c>
      <c r="L12" s="82">
        <f>H12+I12+J12+K12</f>
        <v>0</v>
      </c>
    </row>
    <row r="35" spans="8:12" ht="15.75" thickBot="1" x14ac:dyDescent="0.3"/>
    <row r="36" spans="8:12" x14ac:dyDescent="0.25">
      <c r="H36" s="102"/>
      <c r="I36" s="89"/>
      <c r="J36" s="165" t="str">
        <f>IF(B6=453.6,"Greenhouse Gas Savings From Transit - Pounds",IF(B6=907200,"Greenhouse Gas Savings From Transit - Tons","Greenhouse Gas Savings From Transit"))</f>
        <v>Greenhouse Gas Savings From Transit</v>
      </c>
      <c r="K36" s="89"/>
      <c r="L36" s="90"/>
    </row>
    <row r="37" spans="8:12" ht="45" x14ac:dyDescent="0.25">
      <c r="H37" s="43" t="s">
        <v>75</v>
      </c>
      <c r="I37" s="42" t="s">
        <v>76</v>
      </c>
      <c r="J37" s="42" t="s">
        <v>77</v>
      </c>
      <c r="K37" s="42" t="s">
        <v>38</v>
      </c>
      <c r="L37" s="44" t="s">
        <v>78</v>
      </c>
    </row>
    <row r="38" spans="8:12" ht="15.75" thickBot="1" x14ac:dyDescent="0.3">
      <c r="H38" s="103">
        <f>IF($B6=0,0,NTD!E8*B2*NTD!G36/$B6)</f>
        <v>0</v>
      </c>
      <c r="I38" s="104">
        <f>IF(B6=0,0,B3*NTD!C8/SUM(NTD!C3:C19)*B2/0.8/NTD!H36*NTD!G36/$B6)</f>
        <v>0</v>
      </c>
      <c r="J38" s="104">
        <f>IF(B5=0,0,IF(B6=0,0,NTD!E8/B5*NTD!G36*B4/$B6))</f>
        <v>0</v>
      </c>
      <c r="K38" s="104">
        <f>-J2</f>
        <v>0</v>
      </c>
      <c r="L38" s="105">
        <f>H38+I38+J38+K38</f>
        <v>0</v>
      </c>
    </row>
    <row r="60" spans="8:12" ht="15.75" thickBot="1" x14ac:dyDescent="0.3"/>
    <row r="61" spans="8:12" x14ac:dyDescent="0.25">
      <c r="H61" s="174" t="s">
        <v>79</v>
      </c>
      <c r="I61" s="169"/>
      <c r="J61" s="169"/>
      <c r="K61" s="169"/>
      <c r="L61" s="168"/>
    </row>
    <row r="62" spans="8:12" ht="45" x14ac:dyDescent="0.25">
      <c r="H62" s="43" t="s">
        <v>75</v>
      </c>
      <c r="I62" s="42" t="s">
        <v>76</v>
      </c>
      <c r="J62" s="42" t="s">
        <v>77</v>
      </c>
      <c r="K62" s="42" t="s">
        <v>83</v>
      </c>
      <c r="L62" s="44" t="s">
        <v>78</v>
      </c>
    </row>
    <row r="63" spans="8:12" ht="15.75" thickBot="1" x14ac:dyDescent="0.3">
      <c r="H63" s="77">
        <f>NTD!E8*B2*NTD!H36</f>
        <v>0</v>
      </c>
      <c r="I63" s="78">
        <f>IF(SUM(NTD!$C3:'NTD'!$C19)=0,0,B3*NTD!C8/SUM(NTD!C3:C19))</f>
        <v>0</v>
      </c>
      <c r="J63" s="78">
        <f>IF(B5=0,0,NTD!E8/B5*NTD!H36*B4)</f>
        <v>0</v>
      </c>
      <c r="K63" s="78">
        <f>-K2</f>
        <v>0</v>
      </c>
      <c r="L63" s="79">
        <f>H63+I63+J63+K63</f>
        <v>0</v>
      </c>
    </row>
  </sheetData>
  <mergeCells count="3">
    <mergeCell ref="A1:B1"/>
    <mergeCell ref="H61:L61"/>
    <mergeCell ref="B6:B7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75" zoomScaleNormal="75" workbookViewId="0">
      <selection sqref="A1:B1"/>
    </sheetView>
  </sheetViews>
  <sheetFormatPr defaultRowHeight="15" x14ac:dyDescent="0.25"/>
  <cols>
    <col min="1" max="1" width="24.5703125" customWidth="1"/>
    <col min="2" max="2" width="15.5703125" customWidth="1"/>
    <col min="3" max="3" width="15.5703125" style="34" customWidth="1"/>
    <col min="4" max="11" width="17.5703125" customWidth="1"/>
  </cols>
  <sheetData>
    <row r="1" spans="1:11" ht="15.75" thickBot="1" x14ac:dyDescent="0.3">
      <c r="A1" s="173">
        <f>NTD!C1</f>
        <v>0</v>
      </c>
      <c r="B1" s="168"/>
      <c r="C1" s="110"/>
      <c r="D1" s="7">
        <f>NTD!B1</f>
        <v>0</v>
      </c>
      <c r="E1" s="39" t="str">
        <f>IF($B6=453.6,"Nitrogen Oxides - Pounds",IF($B6=907200,"Nitrogen Oxides - Tons","Nitrogen Oxides"))</f>
        <v>Nitrogen Oxides</v>
      </c>
      <c r="F1" s="39" t="str">
        <f>IF($B6=453.6,"Hydrocarbons - Pounds",IF($B6=907200,"Hydrocarbons - Tons","Hydrocarbons"))</f>
        <v>Hydrocarbons</v>
      </c>
      <c r="G1" s="39" t="str">
        <f>IF($B6=453.6,"Carbon Monoxide - Pounds",IF($B6=907200,"Carbon Monoxide - Tons","Carbon Monoxide"))</f>
        <v>Carbon Monoxide</v>
      </c>
      <c r="H1" s="39" t="str">
        <f>IF($B6=453.6,"Particulate Matter - Pounds",IF($B6=907200,"Particulate Matter - Tons","Particulate Matter"))</f>
        <v>Particulate Matter</v>
      </c>
      <c r="I1" s="39" t="str">
        <f>IF($B6=453.6,"Sulfur Oxides - Pounds",IF($B6=907200,"Sulfur Oxides - Tons","Sulfur Oxides"))</f>
        <v>Sulfur Oxides</v>
      </c>
      <c r="J1" s="39" t="str">
        <f>IF($B6=453.6,"Greenhouse Gas - Pounds",IF($B6=907200,"Greenhouse Gas - Tons","Greenhouse Gas"))</f>
        <v>Greenhouse Gas</v>
      </c>
      <c r="K1" s="40" t="s">
        <v>35</v>
      </c>
    </row>
    <row r="2" spans="1:11" x14ac:dyDescent="0.25">
      <c r="A2" s="157" t="s">
        <v>51</v>
      </c>
      <c r="B2" s="92"/>
      <c r="C2" s="2" t="s">
        <v>90</v>
      </c>
      <c r="D2" s="101" t="s">
        <v>142</v>
      </c>
      <c r="E2" s="51">
        <f>IF($B6=0,0,(NTD!$D9*NTD!B31+NTD!$D10*NTD!B32+NTD!$B11*NTD!B30)/$B6)</f>
        <v>0</v>
      </c>
      <c r="F2" s="51">
        <f>IF($B6=0,0,(NTD!$D9*NTD!C31+NTD!$D10*NTD!C32+NTD!$B11*NTD!C30)/$B6)</f>
        <v>0</v>
      </c>
      <c r="G2" s="51">
        <f>IF($B6=0,0,(NTD!$D9*NTD!D31+NTD!$D10*NTD!D32+NTD!$B11*NTD!D30)/$B6)</f>
        <v>0</v>
      </c>
      <c r="H2" s="51">
        <f>IF($B6=0,0,(NTD!$D9*NTD!E31+NTD!$D10*NTD!E32+NTD!$B11*NTD!E30)/$B6)</f>
        <v>0</v>
      </c>
      <c r="I2" s="51">
        <f>IF($B6=0,0,(NTD!$D9*NTD!F31+NTD!$D10*NTD!F32+NTD!$B11*NTD!F30)/$B6)</f>
        <v>0</v>
      </c>
      <c r="J2" s="51">
        <f>IF($B6=0,0,(NTD!$D9*NTD!G31+NTD!$D10*NTD!G32+NTD!$B11*NTD!G30)/$B6)</f>
        <v>0</v>
      </c>
      <c r="K2" s="41">
        <f>NTD!$B9+NTD!$B10/NTD!$H32+NTD!$B11/NTD!$H30</f>
        <v>0</v>
      </c>
    </row>
    <row r="3" spans="1:11" s="34" customFormat="1" x14ac:dyDescent="0.25">
      <c r="A3" s="4" t="s">
        <v>8</v>
      </c>
      <c r="B3" s="93"/>
      <c r="C3" s="3" t="s">
        <v>91</v>
      </c>
      <c r="D3" s="101" t="s">
        <v>106</v>
      </c>
      <c r="E3" s="51">
        <f t="shared" ref="E3:K3" si="0">SUM(E8:E10)+(1-SUM($B8:$B10))*E2</f>
        <v>0</v>
      </c>
      <c r="F3" s="51">
        <f t="shared" si="0"/>
        <v>0</v>
      </c>
      <c r="G3" s="51">
        <f t="shared" si="0"/>
        <v>0</v>
      </c>
      <c r="H3" s="51">
        <f t="shared" si="0"/>
        <v>0</v>
      </c>
      <c r="I3" s="51">
        <f t="shared" si="0"/>
        <v>0</v>
      </c>
      <c r="J3" s="51">
        <f t="shared" si="0"/>
        <v>0</v>
      </c>
      <c r="K3" s="41">
        <f t="shared" si="0"/>
        <v>0</v>
      </c>
    </row>
    <row r="4" spans="1:11" x14ac:dyDescent="0.25">
      <c r="A4" s="4" t="s">
        <v>14</v>
      </c>
      <c r="B4" s="94"/>
      <c r="C4" s="2" t="s">
        <v>92</v>
      </c>
      <c r="D4" s="35" t="s">
        <v>34</v>
      </c>
      <c r="E4" s="55">
        <f>IF($B5=0,0,IF($B6=0,0,SUM(NTD!$E9:'NTD'!$E11)*$B2*NTD!B36/$B6+$B3*SUM(NTD!$C9:'NTD'!$C11)/SUM(NTD!$C3:$C19)*$B2/0.8/NTD!$H36*NTD!B36/$B6+SUM(NTD!$E9:'NTD'!$E11)/$B5*NTD!B36*$B4/$B6))</f>
        <v>0</v>
      </c>
      <c r="F4" s="55">
        <f>IF($B5=0,0,IF($B6=0,0,SUM(NTD!$E9:'NTD'!$E11)*$B2*NTD!C36/$B6+$B3*SUM(NTD!$C9:'NTD'!$C11)/SUM(NTD!$C3:$C19)*$B2/0.8/NTD!$H36*NTD!C36/$B6+SUM(NTD!$E9:'NTD'!$E11)/$B5*NTD!C36*$B4/$B6))</f>
        <v>0</v>
      </c>
      <c r="G4" s="55">
        <f>IF($B5=0,0,IF($B6=0,0,SUM(NTD!$E9:'NTD'!$E11)*$B2*NTD!D36/$B6+$B3*SUM(NTD!$C9:'NTD'!$C11)/SUM(NTD!$C3:$C19)*$B2/0.8/NTD!$H36*NTD!D36/$B6+SUM(NTD!$E9:'NTD'!$E11)/$B5*NTD!D36*$B4/$B6))</f>
        <v>0</v>
      </c>
      <c r="H4" s="55">
        <f>IF($B5=0,0,IF($B6=0,0,SUM(NTD!$E9:'NTD'!$E11)*$B2*NTD!E36/$B6+$B3*SUM(NTD!$C9:'NTD'!$C11)/SUM(NTD!$C3:$C19)*$B2/0.8/NTD!$H36*NTD!E36/$B6+SUM(NTD!$E9:'NTD'!$E11)/$B5*NTD!E36*$B4/$B6))</f>
        <v>0</v>
      </c>
      <c r="I4" s="55">
        <f>IF($B5=0,0,IF($B6=0,0,SUM(NTD!$E9:'NTD'!$E11)*$B2*NTD!F36/$B6+$B3*SUM(NTD!$C9:'NTD'!$C11)/SUM(NTD!$C3:$C19)*$B2/0.8/NTD!$H36*NTD!F36/$B6+SUM(NTD!$E9:'NTD'!$E11)/$B5*NTD!F36*$B4/$B6))</f>
        <v>0</v>
      </c>
      <c r="J4" s="55">
        <f>IF($B5=0,0,IF($B6=0,0,SUM(NTD!$E9:'NTD'!$E11)*$B2*NTD!G36/$B6+$B3*SUM(NTD!$C9:'NTD'!$C11)/SUM(NTD!$C3:$C19)*$B2/0.8/NTD!$H36*NTD!G36/$B6+SUM(NTD!$E9:'NTD'!$E11)/$B5*NTD!G36*$B4/$B6))</f>
        <v>0</v>
      </c>
      <c r="K4" s="56">
        <f>IF($B5=0,0,SUM(NTD!$E9:'NTD'!$E11)*$B2*NTD!H36+$B3*SUM(NTD!$C9:'NTD'!$C11)/SUM(NTD!$C3:$C19)+SUM(NTD!$E9:'NTD'!$E11)/$B5*NTD!H36*$B4)</f>
        <v>0</v>
      </c>
    </row>
    <row r="5" spans="1:11" s="34" customFormat="1" ht="30" x14ac:dyDescent="0.25">
      <c r="A5" s="4" t="s">
        <v>16</v>
      </c>
      <c r="B5" s="94"/>
      <c r="C5" s="2" t="s">
        <v>93</v>
      </c>
      <c r="D5" s="35" t="s">
        <v>141</v>
      </c>
      <c r="E5" s="55">
        <f>IF($B5=0,0,IF($B6=0,0,(SUM(NTD!$E9:'NTD'!$E11)+SUM(NTD!$E9:'NTD'!$E11)*$B11)*$B2*NTD!B36/$B6+$B3*SUM(NTD!$C9:'NTD'!$C11)/SUM(NTD!$C3:$C19)*$B2/0.8/NTD!$H36*NTD!B36/$B6+(SUM(NTD!$E9:'NTD'!$E11)+SUM(NTD!$E9:'NTD'!$E11)*$B11)/$B5*NTD!B36*$B4/$B6))</f>
        <v>0</v>
      </c>
      <c r="F5" s="55">
        <f>IF($B5=0,0,IF($B6=0,0,(SUM(NTD!$E9:'NTD'!$E11)+SUM(NTD!$E9:'NTD'!$E11)*$B11)*$B2*NTD!C36/$B6+$B3*SUM(NTD!$C9:'NTD'!$C11)/SUM(NTD!$C3:$C19)*$B2/0.8/NTD!$H36*NTD!C36/$B6+(SUM(NTD!$E9:'NTD'!$E11)+SUM(NTD!$E9:'NTD'!$E11)*$B11)/$B5*NTD!C36*$B4/$B6))</f>
        <v>0</v>
      </c>
      <c r="G5" s="55">
        <f>IF($B5=0,0,IF($B6=0,0,(SUM(NTD!$E9:'NTD'!$E11)+SUM(NTD!$E9:'NTD'!$E11)*$B11)*$B2*NTD!D36/$B6+$B3*SUM(NTD!$C9:'NTD'!$C11)/SUM(NTD!$C3:$C19)*$B2/0.8/NTD!$H36*NTD!D36/$B6+(SUM(NTD!$E9:'NTD'!$E11)+SUM(NTD!$E9:'NTD'!$E11)*$B11)/$B5*NTD!D36*$B4/$B6))</f>
        <v>0</v>
      </c>
      <c r="H5" s="55">
        <f>IF($B5=0,0,IF($B6=0,0,(SUM(NTD!$E9:'NTD'!$E11)+SUM(NTD!$E9:'NTD'!$E11)*$B11)*$B2*NTD!E36/$B6+$B3*SUM(NTD!$C9:'NTD'!$C11)/SUM(NTD!$C3:$C19)*$B2/0.8/NTD!$H36*NTD!E36/$B6+(SUM(NTD!$E9:'NTD'!$E11)+SUM(NTD!$E9:'NTD'!$E11)*$B11)/$B5*NTD!E36*$B4/$B6))</f>
        <v>0</v>
      </c>
      <c r="I5" s="55">
        <f>IF($B5=0,0,IF($B6=0,0,(SUM(NTD!$E9:'NTD'!$E11)+SUM(NTD!$E9:'NTD'!$E11)*$B11)*$B2*NTD!F36/$B6+$B3*SUM(NTD!$C9:'NTD'!$C11)/SUM(NTD!$C3:$C19)*$B2/0.8/NTD!$H36*NTD!F36/$B6+(SUM(NTD!$E9:'NTD'!$E11)+SUM(NTD!$E9:'NTD'!$E11)*$B11)/$B5*NTD!F36*$B4/$B6))</f>
        <v>0</v>
      </c>
      <c r="J5" s="55">
        <f>IF($B5=0,0,IF($B6=0,0,(SUM(NTD!$E9:'NTD'!$E11)+SUM(NTD!$E9:'NTD'!$E11)*$B11)*$B2*NTD!G36/$B6+$B3*SUM(NTD!$C9:'NTD'!$C11)/SUM(NTD!$C3:$C19)*$B2/0.8/NTD!$H36*NTD!G36/$B6+(SUM(NTD!$E9:'NTD'!$E11)+SUM(NTD!$E9:'NTD'!$E11)*$B11)/$B5*NTD!G36*$B4/$B6))</f>
        <v>0</v>
      </c>
      <c r="K5" s="56">
        <f>IF($B5=0,0,(SUM(NTD!$E9:'NTD'!$E11)+SUM(NTD!$E9:'NTD'!$E11)*$B11)*$B2*NTD!H36+$B3*SUM(NTD!$C9:'NTD'!$C11)/SUM(NTD!$C3:'NTD'!$C19)+(SUM(NTD!$E9:'NTD'!$E11)+SUM(NTD!$E9:'NTD'!$E11)*$B11)/$B5*NTD!H36*$B4)</f>
        <v>0</v>
      </c>
    </row>
    <row r="6" spans="1:11" s="34" customFormat="1" ht="15.75" thickBot="1" x14ac:dyDescent="0.3">
      <c r="A6" s="4" t="s">
        <v>88</v>
      </c>
      <c r="B6" s="175"/>
      <c r="C6" s="2"/>
      <c r="D6" s="36" t="s">
        <v>33</v>
      </c>
      <c r="E6" s="61">
        <f>IF($B5=0,0,IF($B6=0,0,SUM(NTD!$G9:'NTD'!$G11)*$B2*NTD!B36/$B6+$B3*SUM(NTD!$C9:'NTD'!$C11)/SUM(NTD!$C3:$C19)*$B2/0.8/NTD!$H36*NTD!B36/$B6+SUM(NTD!$G9:'NTD'!$G11)/$B5*NTD!B36*$B4/$B6))</f>
        <v>0</v>
      </c>
      <c r="F6" s="61">
        <f>IF($B5=0,0,IF($B6=0,0,SUM(NTD!$G9:'NTD'!$G11)*$B2*NTD!C36/$B6+$B3*SUM(NTD!$C9:'NTD'!$C11)/SUM(NTD!$C3:$C19)*$B2/0.8/NTD!$H36*NTD!C36/$B6+SUM(NTD!$G9:'NTD'!$G11)/$B5*NTD!C36*$B4/$B6))</f>
        <v>0</v>
      </c>
      <c r="G6" s="61">
        <f>IF($B5=0,0,IF($B6=0,0,SUM(NTD!$G9:'NTD'!$G11)*$B2*NTD!D36/$B6+$B3*SUM(NTD!$C9:'NTD'!$C11)/SUM(NTD!$C3:$C19)*$B2/0.8/NTD!$H36*NTD!D36/$B6+SUM(NTD!$G9:'NTD'!$G11)/$B5*NTD!D36*$B4/$B6))</f>
        <v>0</v>
      </c>
      <c r="H6" s="61">
        <f>IF($B5=0,0,IF($B6=0,0,SUM(NTD!$G9:'NTD'!$G11)*$B2*NTD!E36/$B6+$B3*SUM(NTD!$C9:'NTD'!$C11)/SUM(NTD!$C3:$C19)*$B2/0.8/NTD!$H36*NTD!E36/$B6+SUM(NTD!$G9:'NTD'!$G11)/$B5*NTD!E36*$B4/$B6))</f>
        <v>0</v>
      </c>
      <c r="I6" s="61">
        <f>IF($B5=0,0,IF($B6=0,0,SUM(NTD!$G9:'NTD'!$G11)*$B2*NTD!F36/$B6+$B3*SUM(NTD!$C9:'NTD'!$C11)/SUM(NTD!$C3:$C19)*$B2/0.8/NTD!$H36*NTD!F36/$B6+SUM(NTD!$G9:'NTD'!$G11)/$B5*NTD!F36*$B4/$B6))</f>
        <v>0</v>
      </c>
      <c r="J6" s="61">
        <f>IF($B5=0,0,IF($B6=0,0,SUM(NTD!$G9:'NTD'!$G11)*$B2*NTD!G36/$B6+$B3*SUM(NTD!$C9:'NTD'!$C11)/SUM(NTD!$C3:$C19)*$B2/0.8/NTD!$H36*NTD!G36/$B6+SUM(NTD!$G9:'NTD'!$G11)/$B5*NTD!G36*$B4/$B6))</f>
        <v>0</v>
      </c>
      <c r="K6" s="62">
        <f>IF($B5=0,0,SUM(NTD!$G9:'NTD'!$G11)*$B2*NTD!H36+$B3*SUM(NTD!$C9:'NTD'!$C11)/SUM(NTD!$C3:$C19)+SUM(NTD!$G9:'NTD'!$G11)/$B5*NTD!H36*$B4)</f>
        <v>0</v>
      </c>
    </row>
    <row r="7" spans="1:11" ht="15.75" thickBot="1" x14ac:dyDescent="0.3">
      <c r="A7" s="4" t="s">
        <v>89</v>
      </c>
      <c r="B7" s="176"/>
      <c r="C7" s="6" t="s">
        <v>123</v>
      </c>
    </row>
    <row r="8" spans="1:11" x14ac:dyDescent="0.25">
      <c r="A8" s="4" t="s">
        <v>120</v>
      </c>
      <c r="B8" s="154"/>
      <c r="C8" s="158"/>
      <c r="D8" s="164" t="s">
        <v>82</v>
      </c>
      <c r="E8" s="125">
        <f>IF($B6=0,0,SUM(NTD!$D9:'NTD'!$D11)*$B8*NTD!B31/$B6)</f>
        <v>0</v>
      </c>
      <c r="F8" s="125">
        <f>IF($B6=0,0,SUM(NTD!$D9:'NTD'!$D11)*$B8*NTD!C31/$B6)</f>
        <v>0</v>
      </c>
      <c r="G8" s="125">
        <f>IF($B6=0,0,SUM(NTD!$D9:'NTD'!$D11)*$B8*NTD!D31/$B6)</f>
        <v>0</v>
      </c>
      <c r="H8" s="125">
        <f>IF($B6=0,0,SUM(NTD!$D9:'NTD'!$D11)*$B8*NTD!E31/$B6)</f>
        <v>0</v>
      </c>
      <c r="I8" s="125">
        <f>IF($B8=0,0,IF(NTD!$B9=0,SUM(NTD!$D9:'NTD'!$D11)*$B8/$C8*NTD!F31/$B6,SUM(NTD!$D9:'NTD'!$D11)*$B8*NTD!$B9/NTD!$D9*NTD!F31/$B6))</f>
        <v>0</v>
      </c>
      <c r="J8" s="125">
        <f>IF($B8=0,0,IF(NTD!$B9=0,SUM(NTD!$D9:'NTD'!$D11)*$B8/$C8*NTD!G31/$B6,SUM(NTD!$D9:'NTD'!$D11)*$B8*NTD!$B9/NTD!$D9*NTD!G31/$B6))</f>
        <v>0</v>
      </c>
      <c r="K8" s="126">
        <f>IF($B8=0,0,IF(NTD!$B9=0,SUM(NTD!$D9:'NTD'!$D11)*$B8/$C8,SUM(NTD!$D9:'NTD'!$D11)*$B8/NTD!$D9*NTD!$B9))</f>
        <v>0</v>
      </c>
    </row>
    <row r="9" spans="1:11" x14ac:dyDescent="0.25">
      <c r="A9" s="4" t="s">
        <v>121</v>
      </c>
      <c r="B9" s="154"/>
      <c r="C9" s="158"/>
      <c r="D9" s="101" t="s">
        <v>81</v>
      </c>
      <c r="E9" s="51">
        <f>IF($B6=0,0,SUM(NTD!$D9:'NTD'!$D11)*$B9*0.86/$B6)</f>
        <v>0</v>
      </c>
      <c r="F9" s="51">
        <f>IF($B6=0,0,SUM(NTD!$D9:'NTD'!$D11)*$B9*NTD!C32/$B6)</f>
        <v>0</v>
      </c>
      <c r="G9" s="51">
        <f>IF($B6=0,0,SUM(NTD!$D9:'NTD'!$D11)*$B9*NTD!D32/$B6)</f>
        <v>0</v>
      </c>
      <c r="H9" s="51">
        <f>IF($B6=0,0,SUM(NTD!$D9:'NTD'!$D11)*$B9*0.0468/$B6)</f>
        <v>0</v>
      </c>
      <c r="I9" s="51">
        <f>IF($B9=0,0,IF(NTD!$B10=0,SUM(NTD!$D9:'NTD'!$D11)*$B9/$C9*NTD!F32/$B6,SUM(NTD!$D9:'NTD'!$D11)*$B9*NTD!$B10/NTD!$D10*NTD!F32/$B6))</f>
        <v>0</v>
      </c>
      <c r="J9" s="51">
        <f>IF($B9=0,0,IF(NTD!$B10=0,SUM(NTD!$D9:'NTD'!$D11)*$B9/$C9*NTD!G32/$B6,SUM(NTD!$D9:'NTD'!$D11)*$B9*NTD!$B10/NTD!$D10*NTD!G32/$B6))</f>
        <v>0</v>
      </c>
      <c r="K9" s="41">
        <f>IF($B9=0,0,IF(NTD!$B10=0,SUM(NTD!$D9:'NTD'!$D11)*$B9/$C9/NTD!H32,SUM(NTD!$D9:'NTD'!$D11)*$B9/NTD!$D10*NTD!$B10/NTD!H32))</f>
        <v>0</v>
      </c>
    </row>
    <row r="10" spans="1:11" ht="15.75" thickBot="1" x14ac:dyDescent="0.3">
      <c r="A10" s="4" t="s">
        <v>122</v>
      </c>
      <c r="B10" s="154"/>
      <c r="C10" s="159"/>
      <c r="D10" s="161" t="s">
        <v>87</v>
      </c>
      <c r="E10" s="162">
        <f>IF($B6=0,0,IF(NTD!$B11=0,SUM(NTD!$D9:'NTD'!$D11)*$B10*$C10*NTD!B30/$B6,SUM(NTD!$D9:'NTD'!$D11)*$B10*NTD!$B11/NTD!$D11*NTD!B30/$B6))</f>
        <v>0</v>
      </c>
      <c r="F10" s="162">
        <f>IF($B6=0,0,IF(NTD!$B11=0,SUM(NTD!$D9:'NTD'!$D11)*$B10*$C10*NTD!C30/$B6,SUM(NTD!$D9:'NTD'!$D11)*$B10*NTD!$B11/NTD!$D11*NTD!C30/$B6))</f>
        <v>0</v>
      </c>
      <c r="G10" s="162">
        <f>IF($B6=0,0,IF(NTD!$B11=0,SUM(NTD!$D9:'NTD'!$D11)*$B10*$C10*NTD!D30/$B6,SUM(NTD!$D9:'NTD'!$D11)*$B10*NTD!$B11/NTD!$D11*NTD!D30/$B6))</f>
        <v>0</v>
      </c>
      <c r="H10" s="162">
        <f>IF($B6=0,0,IF(NTD!$B11=0,SUM(NTD!$D9:'NTD'!$D11)*$B10*$C10*NTD!E30/$B6,SUM(NTD!$D9:'NTD'!$D11)*$B10*NTD!$B11/NTD!$D11*NTD!E30/$B6))</f>
        <v>0</v>
      </c>
      <c r="I10" s="162">
        <f>IF($B6=0,0,IF(NTD!$B11=0,SUM(NTD!$D9:'NTD'!$D11)*$B10*$C10*NTD!F30/$B6,SUM(NTD!$D9:'NTD'!$D11)*$B10*NTD!$B11/NTD!$D11*NTD!F30/$B6))</f>
        <v>0</v>
      </c>
      <c r="J10" s="162">
        <f>IF($B6=0,0,IF(NTD!$B11=0,SUM(NTD!$D9:'NTD'!$D11)*$B10*$C10*NTD!G30/$B6,SUM(NTD!$D9:'NTD'!$D11)*$B10*NTD!$B11/NTD!$D11*NTD!G30/$B6))</f>
        <v>0</v>
      </c>
      <c r="K10" s="163">
        <f>IF(NTD!$B11=0,SUM(NTD!$D9:'NTD'!$D11)*$B10*$C10/NTD!H30,SUM(NTD!$D9:'NTD'!$D11)*$B10*NTD!$B11/NTD!$D11/NTD!H30)</f>
        <v>0</v>
      </c>
    </row>
    <row r="11" spans="1:11" ht="15.75" thickBot="1" x14ac:dyDescent="0.3">
      <c r="A11" s="76" t="s">
        <v>73</v>
      </c>
      <c r="B11" s="95"/>
      <c r="C11" s="97" t="s">
        <v>116</v>
      </c>
    </row>
    <row r="12" spans="1:11" x14ac:dyDescent="0.25">
      <c r="B12" s="160"/>
      <c r="E12" s="45"/>
      <c r="G12" s="179" t="str">
        <f>IF(B6=453.6,"Criteria Air Pollutants Mitigated By Transit - Pounds",IF(B6=907200,"Criteria Air Pollutants Mitigated By Transit - Tons","Criteria Air Pollutants Mitigated By Transit"))</f>
        <v>Criteria Air Pollutants Mitigated By Transit</v>
      </c>
      <c r="H12" s="180"/>
      <c r="I12" s="180"/>
      <c r="J12" s="180"/>
      <c r="K12" s="181"/>
    </row>
    <row r="13" spans="1:11" ht="45" x14ac:dyDescent="0.25">
      <c r="G13" s="43" t="s">
        <v>75</v>
      </c>
      <c r="H13" s="42" t="s">
        <v>76</v>
      </c>
      <c r="I13" s="42" t="s">
        <v>77</v>
      </c>
      <c r="J13" s="42" t="s">
        <v>38</v>
      </c>
      <c r="K13" s="44" t="s">
        <v>78</v>
      </c>
    </row>
    <row r="14" spans="1:11" ht="15.75" thickBot="1" x14ac:dyDescent="0.3">
      <c r="E14" s="45"/>
      <c r="G14" s="80">
        <f>IF($B6=0,0,SUM(NTD!$E9:'NTD'!$E11)*$B2*SUM(NTD!B36:'NTD'!F36)/$B6)</f>
        <v>0</v>
      </c>
      <c r="H14" s="81">
        <f>IF(B6=0,0,$B3*SUM(NTD!$C9:'NTD'!$C11)/SUM(NTD!$C3:$C19)*$B2/0.8/NTD!$H36*SUM(NTD!$B36:'NTD'!$F36)/$B6)</f>
        <v>0</v>
      </c>
      <c r="I14" s="81">
        <f>IF(B5=0,0,IF(B6=0,0,SUM(NTD!$E9:'NTD'!$E11)/$B5*SUM(NTD!$B36:'NTD'!$F36)*$B4/$B6))</f>
        <v>0</v>
      </c>
      <c r="J14" s="81">
        <f>-SUM(E2:I2)</f>
        <v>0</v>
      </c>
      <c r="K14" s="82">
        <f>G14+H14+I14+J14</f>
        <v>0</v>
      </c>
    </row>
    <row r="37" spans="7:11" ht="15.75" thickBot="1" x14ac:dyDescent="0.3"/>
    <row r="38" spans="7:11" x14ac:dyDescent="0.25">
      <c r="G38" s="179" t="str">
        <f>IF(B6=453.6,"Greenhouse Gas Savings From Transit - Pounds",IF(B6=907200,"Greenhouse Gas Savings From Transit - Tons","GreenhouseGasSavingsFromTransit"))</f>
        <v>GreenhouseGasSavingsFromTransit</v>
      </c>
      <c r="H38" s="180"/>
      <c r="I38" s="180"/>
      <c r="J38" s="180"/>
      <c r="K38" s="181"/>
    </row>
    <row r="39" spans="7:11" ht="45" x14ac:dyDescent="0.25">
      <c r="G39" s="43" t="s">
        <v>75</v>
      </c>
      <c r="H39" s="42" t="s">
        <v>76</v>
      </c>
      <c r="I39" s="42" t="s">
        <v>77</v>
      </c>
      <c r="J39" s="42" t="s">
        <v>38</v>
      </c>
      <c r="K39" s="44" t="s">
        <v>78</v>
      </c>
    </row>
    <row r="40" spans="7:11" ht="15.75" thickBot="1" x14ac:dyDescent="0.3">
      <c r="G40" s="103">
        <f>IF($B6=0,0,SUM(NTD!$E9:'NTD'!$E11)*$B2*NTD!$G36/$B6)</f>
        <v>0</v>
      </c>
      <c r="H40" s="104">
        <f>IF($B6=0,0,$B3*SUM(NTD!C9:'NTD'!$C11)/SUM(NTD!$C3:'NTD'!$C19)*$B2/0.8/NTD!$H36*NTD!$G36/$B6)</f>
        <v>0</v>
      </c>
      <c r="I40" s="104">
        <f>IF(B5=0,0,IF(B6=0,0,SUM(NTD!$E9:'NTD'!$E11)/$B5*NTD!$G36*$B4/$B6))</f>
        <v>0</v>
      </c>
      <c r="J40" s="104">
        <f>-J2</f>
        <v>0</v>
      </c>
      <c r="K40" s="105">
        <f>G40+H40+I40+J40</f>
        <v>0</v>
      </c>
    </row>
    <row r="62" spans="7:11" ht="15.75" thickBot="1" x14ac:dyDescent="0.3"/>
    <row r="63" spans="7:11" x14ac:dyDescent="0.25">
      <c r="G63" s="174" t="s">
        <v>79</v>
      </c>
      <c r="H63" s="169"/>
      <c r="I63" s="169"/>
      <c r="J63" s="169"/>
      <c r="K63" s="168"/>
    </row>
    <row r="64" spans="7:11" ht="45" x14ac:dyDescent="0.25">
      <c r="G64" s="43" t="s">
        <v>75</v>
      </c>
      <c r="H64" s="42" t="s">
        <v>76</v>
      </c>
      <c r="I64" s="42" t="s">
        <v>77</v>
      </c>
      <c r="J64" s="42" t="s">
        <v>83</v>
      </c>
      <c r="K64" s="44" t="s">
        <v>78</v>
      </c>
    </row>
    <row r="65" spans="7:11" ht="15.75" thickBot="1" x14ac:dyDescent="0.3">
      <c r="G65" s="77">
        <f>SUM(NTD!$E9:'NTD'!$E11)*$B2*NTD!$H36</f>
        <v>0</v>
      </c>
      <c r="H65" s="78">
        <f>IF(SUM(NTD!$C3:'NTD'!$C19)=0,0,$B3*SUM(NTD!C$9:'NTD'!$C11)/SUM(NTD!$C3:$C19))</f>
        <v>0</v>
      </c>
      <c r="I65" s="78">
        <f>IF(B5=0,0,SUM(NTD!$E9:'NTD'!$E11)/$B5*NTD!$H36*$B4)</f>
        <v>0</v>
      </c>
      <c r="J65" s="78">
        <f>-K2</f>
        <v>0</v>
      </c>
      <c r="K65" s="79">
        <f>G65+H65+I65+J65</f>
        <v>0</v>
      </c>
    </row>
  </sheetData>
  <mergeCells count="5">
    <mergeCell ref="A1:B1"/>
    <mergeCell ref="G63:K63"/>
    <mergeCell ref="G38:K38"/>
    <mergeCell ref="G12:K12"/>
    <mergeCell ref="B6:B7"/>
  </mergeCells>
  <pageMargins left="0.7" right="0.7" top="0.75" bottom="0.75" header="0.3" footer="0.3"/>
  <pageSetup orientation="portrait" verticalDpi="0" r:id="rId1"/>
  <ignoredErrors>
    <ignoredError sqref="E3:K3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75" zoomScaleNormal="75" workbookViewId="0">
      <selection sqref="A1:B1"/>
    </sheetView>
  </sheetViews>
  <sheetFormatPr defaultColWidth="9" defaultRowHeight="15" x14ac:dyDescent="0.25"/>
  <cols>
    <col min="1" max="1" width="24.5703125" style="34" customWidth="1"/>
    <col min="2" max="3" width="15.5703125" style="34" customWidth="1"/>
    <col min="4" max="11" width="17.5703125" style="34" customWidth="1"/>
    <col min="12" max="16384" width="9" style="34"/>
  </cols>
  <sheetData>
    <row r="1" spans="1:11" ht="15.75" thickBot="1" x14ac:dyDescent="0.3">
      <c r="A1" s="173">
        <f>NTD!C1</f>
        <v>0</v>
      </c>
      <c r="B1" s="168"/>
      <c r="C1" s="110"/>
      <c r="D1" s="7">
        <f>NTD!B1</f>
        <v>0</v>
      </c>
      <c r="E1" s="39" t="str">
        <f>IF($B6=453.6,"Nitrogen Oxides - Pounds",IF($B6=907200,"Nitrogen Oxides - Tons","Nitrogen Oxides"))</f>
        <v>Nitrogen Oxides</v>
      </c>
      <c r="F1" s="39" t="str">
        <f>IF($B6=453.6,"Hydrocarbons - Pounds",IF($B6=907200,"Hydrocarbons - Tons","Hydrocarbons"))</f>
        <v>Hydrocarbons</v>
      </c>
      <c r="G1" s="39" t="str">
        <f>IF($B6=453.6,"Carbon Monoxide - Pounds",IF($B6=907200,"Carbon Monoxide - Tons","Carbon Monoxide"))</f>
        <v>Carbon Monoxide</v>
      </c>
      <c r="H1" s="39" t="str">
        <f>IF($B6=453.6,"Particulate Matter - Pounds",IF($B6=907200,"Particulate Matter - Tons","Particulate Matter"))</f>
        <v>Particulate Matter</v>
      </c>
      <c r="I1" s="39" t="str">
        <f>IF($B6=453.6,"Sulfur Oxides - Pounds",IF($B6=907200,"Sulfur Oxides - Tons","Sulfur Oxides"))</f>
        <v>Sulfur Oxides</v>
      </c>
      <c r="J1" s="39" t="str">
        <f>IF($B6=453.6,"Greenhouse Gas - Pounds",IF($B6=907200,"Greenhouse Gas - Tons","Greenhouse Gas"))</f>
        <v>Greenhouse Gas</v>
      </c>
      <c r="K1" s="40" t="s">
        <v>35</v>
      </c>
    </row>
    <row r="2" spans="1:11" x14ac:dyDescent="0.25">
      <c r="A2" s="157" t="s">
        <v>51</v>
      </c>
      <c r="B2" s="92"/>
      <c r="C2" s="2" t="s">
        <v>90</v>
      </c>
      <c r="D2" s="101" t="s">
        <v>143</v>
      </c>
      <c r="E2" s="51">
        <f>IF($B6=0,0,(NTD!$D12*NTD!B31+NTD!$D13*NTD!B32+NTD!$B14*NTD!B30)/$B6)</f>
        <v>0</v>
      </c>
      <c r="F2" s="51">
        <f>IF($B6=0,0,(NTD!$D12*NTD!C31+NTD!$D13*NTD!C32+NTD!$B14*NTD!C30)/$B6)</f>
        <v>0</v>
      </c>
      <c r="G2" s="51">
        <f>IF($B6=0,0,(NTD!$D12*NTD!D31+NTD!$D13*NTD!D32+NTD!$B14*NTD!D30)/$B6)</f>
        <v>0</v>
      </c>
      <c r="H2" s="51">
        <f>IF($B6=0,0,(NTD!$D12*NTD!E31+NTD!$D13*NTD!E32+NTD!$B14*NTD!E30)/$B6)</f>
        <v>0</v>
      </c>
      <c r="I2" s="51">
        <f>IF($B6=0,0,(NTD!$D12*NTD!F31+NTD!$D13*NTD!F32+NTD!$B14*NTD!F30)/$B6)</f>
        <v>0</v>
      </c>
      <c r="J2" s="51">
        <f>IF($B6=0,0,(NTD!$D12*NTD!G31+NTD!$D13*NTD!G32+NTD!$B14*NTD!G30)/$B6)</f>
        <v>0</v>
      </c>
      <c r="K2" s="41">
        <f>NTD!$B12+NTD!$B13/NTD!$H32+NTD!$B14/NTD!$H30</f>
        <v>0</v>
      </c>
    </row>
    <row r="3" spans="1:11" x14ac:dyDescent="0.25">
      <c r="A3" s="4" t="s">
        <v>8</v>
      </c>
      <c r="B3" s="93"/>
      <c r="C3" s="3" t="s">
        <v>91</v>
      </c>
      <c r="D3" s="101" t="s">
        <v>106</v>
      </c>
      <c r="E3" s="51">
        <f t="shared" ref="E3:K3" si="0">SUM(E8:E10)+(1-SUM($B8:$B10))*E2</f>
        <v>0</v>
      </c>
      <c r="F3" s="51">
        <f t="shared" si="0"/>
        <v>0</v>
      </c>
      <c r="G3" s="51">
        <f t="shared" si="0"/>
        <v>0</v>
      </c>
      <c r="H3" s="51">
        <f t="shared" si="0"/>
        <v>0</v>
      </c>
      <c r="I3" s="51">
        <f t="shared" si="0"/>
        <v>0</v>
      </c>
      <c r="J3" s="51">
        <f t="shared" si="0"/>
        <v>0</v>
      </c>
      <c r="K3" s="41">
        <f t="shared" si="0"/>
        <v>0</v>
      </c>
    </row>
    <row r="4" spans="1:11" x14ac:dyDescent="0.25">
      <c r="A4" s="4" t="s">
        <v>14</v>
      </c>
      <c r="B4" s="94"/>
      <c r="C4" s="2" t="s">
        <v>92</v>
      </c>
      <c r="D4" s="35" t="s">
        <v>34</v>
      </c>
      <c r="E4" s="55">
        <f>IF($B5=0,0,IF($B6=0,0,SUM(NTD!$E12:'NTD'!$E14)*$B2*NTD!B36/$B6+$B3*SUM(NTD!$C12:'NTD'!$C14)/SUM(NTD!$C3:$C19)*$B2/0.8/NTD!$H36*NTD!B36/$B6+SUM(NTD!$E12:'NTD'!$E14)/$B5*NTD!B36*$B4/$B6))</f>
        <v>0</v>
      </c>
      <c r="F4" s="55">
        <f>IF($B5=0,0,IF($B6=0,0,SUM(NTD!$E12:'NTD'!$E14)*$B2*NTD!C36/$B6+$B3*SUM(NTD!$C12:'NTD'!$C14)/SUM(NTD!$C3:$C19)*$B2/0.8/NTD!$H36*NTD!C36/$B6+SUM(NTD!$E12:'NTD'!$E14)/$B5*NTD!C36*$B4/$B6))</f>
        <v>0</v>
      </c>
      <c r="G4" s="55">
        <f>IF($B5=0,0,IF($B6=0,0,SUM(NTD!$E12:'NTD'!$E14)*$B2*NTD!D36/$B6+$B3*SUM(NTD!$C12:'NTD'!$C14)/SUM(NTD!$C3:$C19)*$B2/0.8/NTD!$H36*NTD!D36/$B6+SUM(NTD!$E12:'NTD'!$E14)/$B5*NTD!D36*$B4/$B6))</f>
        <v>0</v>
      </c>
      <c r="H4" s="55">
        <f>IF($B5=0,0,IF($B6=0,0,SUM(NTD!$E12:'NTD'!$E14)*$B2*NTD!E36/$B6+$B3*SUM(NTD!$C12:'NTD'!$C14)/SUM(NTD!$C3:$C19)*$B2/0.8/NTD!$H36*NTD!E36/$B6+SUM(NTD!$E12:'NTD'!$E14)/$B5*NTD!E36*$B4/$B6))</f>
        <v>0</v>
      </c>
      <c r="I4" s="55">
        <f>IF($B5=0,0,IF($B6=0,0,SUM(NTD!$E12:'NTD'!$E14)*$B2*NTD!F36/$B6+$B3*SUM(NTD!$C12:'NTD'!$C14)/SUM(NTD!$C3:$C19)*$B2/0.8/NTD!$H36*NTD!F36/$B6+SUM(NTD!$E12:'NTD'!$E14)/$B5*NTD!F36*$B4/$B6))</f>
        <v>0</v>
      </c>
      <c r="J4" s="55">
        <f>IF($B5=0,0,IF($B6=0,0,SUM(NTD!$E12:'NTD'!$E14)*$B2*NTD!G36/$B6+$B3*SUM(NTD!$C12:'NTD'!$C14)/SUM(NTD!$C3:$C19)*$B2/0.8/NTD!$H36*NTD!G36/$B6+SUM(NTD!$E12:'NTD'!$E14)/$B5*NTD!G36*$B4/$B6))</f>
        <v>0</v>
      </c>
      <c r="K4" s="56">
        <f>IF($B5=0,0,SUM(NTD!$E12:'NTD'!$E14)*$B2*NTD!H36+$B3*SUM(NTD!$C12:'NTD'!$C14)/SUM(NTD!$C3:$C19)+SUM(NTD!$E12:'NTD'!$E14)/$B5*NTD!H36*$B4)</f>
        <v>0</v>
      </c>
    </row>
    <row r="5" spans="1:11" ht="30" x14ac:dyDescent="0.25">
      <c r="A5" s="4" t="s">
        <v>16</v>
      </c>
      <c r="B5" s="94"/>
      <c r="C5" s="2" t="s">
        <v>93</v>
      </c>
      <c r="D5" s="35" t="s">
        <v>141</v>
      </c>
      <c r="E5" s="55">
        <f>IF($B5=0,0,IF($B6=0,0,(SUM(NTD!$E12:'NTD'!$E14)+SUM(NTD!$E12:'NTD'!$E14)*$B11)*$B2*NTD!B36/$B6+$B3*SUM(NTD!$C12:'NTD'!$C14)/SUM(NTD!$C3:$C19)*$B2/0.8/NTD!$H36*NTD!B36/$B6+(SUM(NTD!$E12:'NTD'!$E14)+SUM(NTD!$E12:'NTD'!$E14)*$B11)/$B5*NTD!B36*$B4/$B6))</f>
        <v>0</v>
      </c>
      <c r="F5" s="55">
        <f>IF($B5=0,0,IF($B6=0,0,(SUM(NTD!$E12:'NTD'!$E14)+SUM(NTD!$E12:'NTD'!$E14)*$B11)*$B2*NTD!C36/$B6+$B3*SUM(NTD!$C12:'NTD'!$C14)/SUM(NTD!$C3:$C19)*$B2/0.8/NTD!$H36*NTD!C36/$B6+(SUM(NTD!$E12:'NTD'!$E14)+SUM(NTD!$E12:'NTD'!$E14)*$B11)/$B5*NTD!C36*$B4/$B6))</f>
        <v>0</v>
      </c>
      <c r="G5" s="55">
        <f>IF($B5=0,0,IF($B6=0,0,(SUM(NTD!$E12:'NTD'!$E14)+SUM(NTD!$E12:'NTD'!$E14)*$B11)*$B2*NTD!D36/$B6+$B3*SUM(NTD!$C12:'NTD'!$C14)/SUM(NTD!$C3:$C19)*$B2/0.8/NTD!$H36*NTD!D36/$B6+(SUM(NTD!$E12:'NTD'!$E14)+SUM(NTD!$E12:'NTD'!$E14)*$B11)/$B5*NTD!D36*$B4/$B6))</f>
        <v>0</v>
      </c>
      <c r="H5" s="55">
        <f>IF($B5=0,0,IF($B6=0,0,(SUM(NTD!$E12:'NTD'!$E14)+SUM(NTD!$E12:'NTD'!$E14)*$B11)*$B2*NTD!E36/$B6+$B3*SUM(NTD!$C12:'NTD'!$C14)/SUM(NTD!$C3:$C19)*$B2/0.8/NTD!$H36*NTD!E36/$B6+(SUM(NTD!$E12:'NTD'!$E14)+SUM(NTD!$E12:'NTD'!$E14)*$B11)/$B5*NTD!E36*$B4/$B6))</f>
        <v>0</v>
      </c>
      <c r="I5" s="55">
        <f>IF($B5=0,0,IF($B6=0,0,(SUM(NTD!$E12:'NTD'!$E14)+SUM(NTD!$E12:'NTD'!$E14)*$B11)*$B2*NTD!F36/$B6+$B3*SUM(NTD!$C12:'NTD'!$C14)/SUM(NTD!$C3:$C19)*$B2/0.8/NTD!$H36*NTD!F36/$B6+(SUM(NTD!$E12:'NTD'!$E14)+SUM(NTD!$E12:'NTD'!$E14)*$B11)/$B5*NTD!F36*$B4/$B6))</f>
        <v>0</v>
      </c>
      <c r="J5" s="55">
        <f>IF($B5=0,0,IF($B6=0,0,(SUM(NTD!$E12:'NTD'!$E14)+SUM(NTD!$E12:'NTD'!$E14)*$B11)*$B2*NTD!G36/$B6+$B3*SUM(NTD!$C12:'NTD'!$C14)/SUM(NTD!$C3:$C19)*$B2/0.8/NTD!$H36*NTD!G36/$B6+(SUM(NTD!$E12:'NTD'!$E14)+SUM(NTD!$E12:'NTD'!$E14)*$B11)/$B5*NTD!G36*$B4/$B6))</f>
        <v>0</v>
      </c>
      <c r="K5" s="56">
        <f>IF($B5=0,0,(SUM(NTD!$E12:'NTD'!$E14)+SUM(NTD!$E12:'NTD'!$E14)*$B11)*$B2*NTD!H36+$B3*SUM(NTD!$C12:'NTD'!$C14)/SUM(NTD!$C3:'NTD'!$C19)+(SUM(NTD!$E12:'NTD'!$E14)+SUM(NTD!$E12:'NTD'!$E14)*$B11)/$B5*NTD!H36*$B4)</f>
        <v>0</v>
      </c>
    </row>
    <row r="6" spans="1:11" ht="15.75" thickBot="1" x14ac:dyDescent="0.3">
      <c r="A6" s="4" t="s">
        <v>88</v>
      </c>
      <c r="B6" s="175"/>
      <c r="C6" s="2"/>
      <c r="D6" s="36" t="s">
        <v>33</v>
      </c>
      <c r="E6" s="61">
        <f>IF($B5=0,0,IF($B6=0,0,SUM(NTD!$G12:'NTD'!$G14)*$B2*NTD!B36/$B6+$B3*SUM(NTD!$C12:'NTD'!$C14)/SUM(NTD!$C3:$C19)*$B2/0.8/NTD!$H36*NTD!B36/$B6+SUM(NTD!$G12:'NTD'!$G14)/$B5*NTD!B36*$B4/$B6))</f>
        <v>0</v>
      </c>
      <c r="F6" s="61">
        <f>IF($B5=0,0,IF($B6=0,0,SUM(NTD!$G12:'NTD'!$G14)*$B2*NTD!C36/$B6+$B3*SUM(NTD!$C12:'NTD'!$C14)/SUM(NTD!$C3:$C19)*$B2/0.8/NTD!$H36*NTD!C36/$B6+SUM(NTD!$G12:'NTD'!$G14)/$B5*NTD!C36*$B4/$B6))</f>
        <v>0</v>
      </c>
      <c r="G6" s="61">
        <f>IF($B5=0,0,IF($B6=0,0,SUM(NTD!$G12:'NTD'!$G14)*$B2*NTD!D36/$B6+$B3*SUM(NTD!$C12:'NTD'!$C14)/SUM(NTD!$C3:$C19)*$B2/0.8/NTD!$H36*NTD!D36/$B6+SUM(NTD!$G12:'NTD'!$G14)/$B5*NTD!D36*$B4/$B6))</f>
        <v>0</v>
      </c>
      <c r="H6" s="61">
        <f>IF($B5=0,0,IF($B6=0,0,SUM(NTD!$G12:'NTD'!$G14)*$B2*NTD!E36/$B6+$B3*SUM(NTD!$C12:'NTD'!$C14)/SUM(NTD!$C3:$C19)*$B2/0.8/NTD!$H36*NTD!E36/$B6+SUM(NTD!$G12:'NTD'!$G14)/$B5*NTD!E36*$B4/$B6))</f>
        <v>0</v>
      </c>
      <c r="I6" s="61">
        <f>IF($B5=0,0,IF($B6=0,0,SUM(NTD!$G12:'NTD'!$G14)*$B2*NTD!F36/$B6+$B3*SUM(NTD!$C12:'NTD'!$C14)/SUM(NTD!$C3:$C19)*$B2/0.8/NTD!$H36*NTD!F36/$B6+SUM(NTD!$G12:'NTD'!$G14)/$B5*NTD!F36*$B4/$B6))</f>
        <v>0</v>
      </c>
      <c r="J6" s="61">
        <f>IF($B5=0,0,IF($B6=0,0,SUM(NTD!$G12:'NTD'!$G14)*$B2*NTD!G36/$B6+$B3*SUM(NTD!$C12:'NTD'!$C14)/SUM(NTD!$C3:$C19)*$B2/0.8/NTD!$H36*NTD!G36/$B6+SUM(NTD!$G12:'NTD'!$G14)/$B5*NTD!G36*$B4/$B6))</f>
        <v>0</v>
      </c>
      <c r="K6" s="62">
        <f>IF($B5=0,0,SUM(NTD!$G12:'NTD'!$G14)*$B2*NTD!H36+$B3*SUM(NTD!$C12:'NTD'!$C14)/SUM(NTD!$C3:$C19)+SUM(NTD!$G12:'NTD'!$G14)/$B5*NTD!H36*$B4)</f>
        <v>0</v>
      </c>
    </row>
    <row r="7" spans="1:11" ht="15.75" thickBot="1" x14ac:dyDescent="0.3">
      <c r="A7" s="4" t="s">
        <v>89</v>
      </c>
      <c r="B7" s="176"/>
      <c r="C7" s="6" t="s">
        <v>123</v>
      </c>
    </row>
    <row r="8" spans="1:11" x14ac:dyDescent="0.25">
      <c r="A8" s="4" t="s">
        <v>120</v>
      </c>
      <c r="B8" s="154"/>
      <c r="C8" s="158"/>
      <c r="D8" s="164" t="s">
        <v>82</v>
      </c>
      <c r="E8" s="125">
        <f>IF($B6=0,0,SUM(NTD!$D12:'NTD'!$D14)*$B8*NTD!B31/$B6)</f>
        <v>0</v>
      </c>
      <c r="F8" s="125">
        <f>IF($B6=0,0,SUM(NTD!$D12:'NTD'!$D14)*$B8*NTD!C31/$B6)</f>
        <v>0</v>
      </c>
      <c r="G8" s="125">
        <f>IF($B6=0,0,SUM(NTD!$D12:'NTD'!$D14)*$B8*NTD!D31/$B6)</f>
        <v>0</v>
      </c>
      <c r="H8" s="125">
        <f>IF($B6=0,0,SUM(NTD!$D12:'NTD'!$D14)*$B8*NTD!E31/$B6)</f>
        <v>0</v>
      </c>
      <c r="I8" s="125">
        <f>IF($B8=0,0,IF(NTD!$B12=0,SUM(NTD!$D12:'NTD'!$D14)*$B8/$C8*NTD!F31/$B6,SUM(NTD!$D12:'NTD'!$D14)*$B8*NTD!$B12/NTD!$D12*NTD!F31/$B6))</f>
        <v>0</v>
      </c>
      <c r="J8" s="125">
        <f>IF($B8=0,0,IF(NTD!$B12=0,SUM(NTD!$D12:'NTD'!$D14)*$B8/$C8*NTD!G31/$B6,SUM(NTD!$D12:'NTD'!$D14)*$B8*NTD!$B12/NTD!$D12*NTD!G31/$B6))</f>
        <v>0</v>
      </c>
      <c r="K8" s="126">
        <f>IF(B8=0,0,IF(NTD!$B12=0,SUM(NTD!$D12:'NTD'!$D14)*$B8/$C8,SUM(NTD!$D12:'NTD'!$D14)*$B8/NTD!$D12*NTD!$B12))</f>
        <v>0</v>
      </c>
    </row>
    <row r="9" spans="1:11" x14ac:dyDescent="0.25">
      <c r="A9" s="4" t="s">
        <v>121</v>
      </c>
      <c r="B9" s="154"/>
      <c r="C9" s="158"/>
      <c r="D9" s="101" t="s">
        <v>81</v>
      </c>
      <c r="E9" s="51">
        <f>IF($B6=0,0,SUM(NTD!$D12:'NTD'!$D14)*$B9*0.86/$B6)</f>
        <v>0</v>
      </c>
      <c r="F9" s="51">
        <f>IF($B6=0,0,SUM(NTD!$D13:'NTD'!$D15)*$B9*NTD!C32/$B6)</f>
        <v>0</v>
      </c>
      <c r="G9" s="51">
        <f>IF($B6=0,0,SUM(NTD!$D13:'NTD'!$D15)*$B9*NTD!D32/$B6)</f>
        <v>0</v>
      </c>
      <c r="H9" s="51">
        <f>IF($B6=0,0,SUM(NTD!$D12:'NTD'!$D14)*$B9*0.0486/$B6)</f>
        <v>0</v>
      </c>
      <c r="I9" s="51">
        <f>IF($B9=0,0,IF(NTD!$B13=0,SUM(NTD!$D12:'NTD'!$D14)*$B9/$C9*NTD!F32/$B6,SUM(NTD!$D12:'NTD'!$D14)*$B9*NTD!$B13/NTD!$D13*NTD!F32/$B6))</f>
        <v>0</v>
      </c>
      <c r="J9" s="51">
        <f>IF($B9=0,0,IF(NTD!$B13=0,SUM(NTD!$D12:'NTD'!$D14)*$B9/$C9*NTD!G32/$B6,SUM(NTD!$D12:'NTD'!$D14)*$B9*NTD!$B13/NTD!$D13*NTD!G32/$B6))</f>
        <v>0</v>
      </c>
      <c r="K9" s="41">
        <f>IF($B9=0,0,IF(NTD!$B13=0,SUM(NTD!$D12:'NTD'!$D14)*$B9/$C9/NTD!H32,SUM(NTD!$D12:'NTD'!$D14)*$B9/NTD!$D13*NTD!$B13/NTD!H32))</f>
        <v>0</v>
      </c>
    </row>
    <row r="10" spans="1:11" ht="15.75" thickBot="1" x14ac:dyDescent="0.3">
      <c r="A10" s="4" t="s">
        <v>122</v>
      </c>
      <c r="B10" s="154"/>
      <c r="C10" s="159"/>
      <c r="D10" s="161" t="s">
        <v>87</v>
      </c>
      <c r="E10" s="162">
        <f>IF($B6=0,0,IF(NTD!$B14=0,SUM(NTD!$D12:'NTD'!$D14)*$B10*$C10*NTD!B30/$B6,SUM(NTD!$D12:'NTD'!$D14)*$B10*NTD!$B14/NTD!$D14*NTD!B30/$B6))</f>
        <v>0</v>
      </c>
      <c r="F10" s="162">
        <f>IF($B6=0,0,IF(NTD!$B14=0,SUM(NTD!$D12:'NTD'!$D14)*$B10*$C10*NTD!C30/$B6,SUM(NTD!$D12:'NTD'!$D14)*$B10*NTD!$B14/NTD!$D14*NTD!C30/$B6))</f>
        <v>0</v>
      </c>
      <c r="G10" s="162">
        <f>IF($B6=0,0,IF(NTD!$B14=0,SUM(NTD!$D12:'NTD'!$D14)*$B10*$C10*NTD!D30/$B6,SUM(NTD!$D12:'NTD'!$D14)*$B10*NTD!$B14/NTD!$D14*NTD!D30/$B6))</f>
        <v>0</v>
      </c>
      <c r="H10" s="162">
        <f>IF($B6=0,0,IF(NTD!$B14=0,SUM(NTD!$D12:'NTD'!$D14)*$B10*$C10*NTD!E30/$B6,SUM(NTD!$D12:'NTD'!$D14)*$B10*NTD!$B14/NTD!$D14*NTD!E30/$B6))</f>
        <v>0</v>
      </c>
      <c r="I10" s="162">
        <f>IF($B10=0,0,IF(NTD!$B14=0,SUM(NTD!$D12:'NTD'!$D14)*$B10*$C10*NTD!F30/$B6,SUM(NTD!$D12:'NTD'!$D14)*$B10*NTD!$B14/NTD!$D14*NTD!F30/$B6))</f>
        <v>0</v>
      </c>
      <c r="J10" s="162">
        <f>IF($B10=0,0,IF(NTD!$B14=0,SUM(NTD!$D12:'NTD'!$D14)*$B10*$C10*NTD!G30/$B6,SUM(NTD!$D12:'NTD'!$D14)*$B10*NTD!$B14/NTD!$D14*NTD!G30/$B6))</f>
        <v>0</v>
      </c>
      <c r="K10" s="163">
        <f>IF(NTD!$B14=0,SUM(NTD!$D12:'NTD'!$D14)*$B10*$C10/NTD!H30,SUM(NTD!$D12:'NTD'!$D14)*$B10*NTD!$B14/NTD!$D14/NTD!H30)</f>
        <v>0</v>
      </c>
    </row>
    <row r="11" spans="1:11" ht="15.75" thickBot="1" x14ac:dyDescent="0.3">
      <c r="A11" s="76" t="s">
        <v>73</v>
      </c>
      <c r="B11" s="95"/>
      <c r="C11" s="97" t="s">
        <v>116</v>
      </c>
    </row>
    <row r="12" spans="1:11" x14ac:dyDescent="0.25">
      <c r="B12" s="160"/>
      <c r="E12" s="45"/>
      <c r="G12" s="179" t="str">
        <f>IF(B6=453.6,"Criteria Air Pollutants Mitigated By Transit - Pounds",IF(B6=907200,"Criteria Air Pollutants Mitigated By Transit - Tons","Criteria Air Pollutants Mitigated By Transit"))</f>
        <v>Criteria Air Pollutants Mitigated By Transit</v>
      </c>
      <c r="H12" s="180"/>
      <c r="I12" s="180"/>
      <c r="J12" s="180"/>
      <c r="K12" s="181"/>
    </row>
    <row r="13" spans="1:11" ht="45" x14ac:dyDescent="0.25">
      <c r="G13" s="43" t="s">
        <v>75</v>
      </c>
      <c r="H13" s="42" t="s">
        <v>76</v>
      </c>
      <c r="I13" s="42" t="s">
        <v>77</v>
      </c>
      <c r="J13" s="42" t="s">
        <v>38</v>
      </c>
      <c r="K13" s="44" t="s">
        <v>78</v>
      </c>
    </row>
    <row r="14" spans="1:11" ht="15.75" thickBot="1" x14ac:dyDescent="0.3">
      <c r="E14" s="45"/>
      <c r="G14" s="80">
        <f>IF($B6=0,0,SUM(NTD!$E12:'NTD'!$E14)*$B2*SUM(NTD!B36:'NTD'!F36)/$B6)</f>
        <v>0</v>
      </c>
      <c r="H14" s="81">
        <f>IF($B6=0,0,$B3*SUM(NTD!$C12:'NTD'!$C14)/SUM(NTD!$C3:$C19)*$B2/0.8/NTD!$H36*SUM(NTD!$B36:'NTD'!$F36)/$B6)</f>
        <v>0</v>
      </c>
      <c r="I14" s="81">
        <f>IF($B6=0,0,SUM(NTD!$E12:'NTD'!$E14)/$B5*SUM(NTD!$B36:'NTD'!$F36)*$B4/$B6)</f>
        <v>0</v>
      </c>
      <c r="J14" s="81">
        <f>-SUM(E2:I2)</f>
        <v>0</v>
      </c>
      <c r="K14" s="82">
        <f>G14+H14+I14+J14</f>
        <v>0</v>
      </c>
    </row>
    <row r="37" spans="7:11" ht="15.75" thickBot="1" x14ac:dyDescent="0.3"/>
    <row r="38" spans="7:11" x14ac:dyDescent="0.25">
      <c r="G38" s="179" t="str">
        <f>IF(B6=453.6,"Greenhouse Gas Savings From Transit - Pounds",IF(B6=907200,"Greenhouse Gas Savings From Transit - Tons","GreenhouseGasSavingsFromTransit"))</f>
        <v>GreenhouseGasSavingsFromTransit</v>
      </c>
      <c r="H38" s="180"/>
      <c r="I38" s="180"/>
      <c r="J38" s="180"/>
      <c r="K38" s="181"/>
    </row>
    <row r="39" spans="7:11" ht="45" x14ac:dyDescent="0.25">
      <c r="G39" s="43" t="s">
        <v>75</v>
      </c>
      <c r="H39" s="42" t="s">
        <v>76</v>
      </c>
      <c r="I39" s="42" t="s">
        <v>77</v>
      </c>
      <c r="J39" s="42" t="s">
        <v>38</v>
      </c>
      <c r="K39" s="44" t="s">
        <v>78</v>
      </c>
    </row>
    <row r="40" spans="7:11" ht="15.75" thickBot="1" x14ac:dyDescent="0.3">
      <c r="G40" s="103">
        <f>IF($B6=0,0,SUM(NTD!$E12:'NTD'!$E14)*$B2*NTD!$G36/$B6)</f>
        <v>0</v>
      </c>
      <c r="H40" s="104">
        <f>IF($B6=0,0,$B3*SUM(NTD!C12:'NTD'!$C14)/SUM(NTD!$C3:'NTD'!$C19)*$B2/0.8/NTD!$H36*NTD!$G36/$B6)</f>
        <v>0</v>
      </c>
      <c r="I40" s="104">
        <f>IF($B6=0,0,SUM(NTD!$E12:'NTD'!$E14)/$B5*NTD!$G36*$B4/$B6)</f>
        <v>0</v>
      </c>
      <c r="J40" s="104">
        <f>-J2</f>
        <v>0</v>
      </c>
      <c r="K40" s="105">
        <f>G40+H40+I40+J40</f>
        <v>0</v>
      </c>
    </row>
    <row r="62" spans="7:11" ht="15.75" thickBot="1" x14ac:dyDescent="0.3"/>
    <row r="63" spans="7:11" x14ac:dyDescent="0.25">
      <c r="G63" s="174" t="s">
        <v>79</v>
      </c>
      <c r="H63" s="169"/>
      <c r="I63" s="169"/>
      <c r="J63" s="169"/>
      <c r="K63" s="168"/>
    </row>
    <row r="64" spans="7:11" ht="45" x14ac:dyDescent="0.25">
      <c r="G64" s="43" t="s">
        <v>75</v>
      </c>
      <c r="H64" s="42" t="s">
        <v>76</v>
      </c>
      <c r="I64" s="42" t="s">
        <v>77</v>
      </c>
      <c r="J64" s="42" t="s">
        <v>83</v>
      </c>
      <c r="K64" s="44" t="s">
        <v>78</v>
      </c>
    </row>
    <row r="65" spans="7:11" ht="15.75" thickBot="1" x14ac:dyDescent="0.3">
      <c r="G65" s="77">
        <f>SUM(NTD!$E12:'NTD'!$E14)*$B2*NTD!$H36</f>
        <v>0</v>
      </c>
      <c r="H65" s="78">
        <f>IF(SUM(NTD!$C3:'NTD'!$C19)=0,0,$B3*SUM(NTD!C$12:'NTD'!$C14)/SUM(NTD!$C3:$C19))</f>
        <v>0</v>
      </c>
      <c r="I65" s="78">
        <f>IF(B5=0,0,SUM(NTD!$E12:'NTD'!$E14)/$B5*NTD!$H36*$B4)</f>
        <v>0</v>
      </c>
      <c r="J65" s="78">
        <f>-K2</f>
        <v>0</v>
      </c>
      <c r="K65" s="79">
        <f>G65+H65+I65+J65</f>
        <v>0</v>
      </c>
    </row>
  </sheetData>
  <mergeCells count="5">
    <mergeCell ref="A1:B1"/>
    <mergeCell ref="B6:B7"/>
    <mergeCell ref="G12:K12"/>
    <mergeCell ref="G38:K38"/>
    <mergeCell ref="G63:K63"/>
  </mergeCells>
  <pageMargins left="0.7" right="0.7" top="0.75" bottom="0.75" header="0.3" footer="0.3"/>
  <ignoredErrors>
    <ignoredError sqref="E3:K3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ResultType xmlns="bf25d8e6-df7f-48f8-9e41-9305719f6447" xsi:nil="true"/>
    <SectionHighlight xmlns="bf25d8e6-df7f-48f8-9e41-9305719f6447">false</SectionHighlight>
    <Year xmlns="f048214f-82cb-4bc4-b562-3b324e00613f" xsi:nil="true"/>
    <Description0 xmlns="f048214f-82cb-4bc4-b562-3b324e00613f" xsi:nil="true"/>
    <PublishingExpirationDate xmlns="http://schemas.microsoft.com/sharepoint/v3" xsi:nil="true"/>
    <PublishingStartDate xmlns="http://schemas.microsoft.com/sharepoint/v3" xsi:nil="true"/>
    <Agency xmlns="f048214f-82cb-4bc4-b562-3b324e00613f" xsi:nil="true"/>
    <Category xmlns="f048214f-82cb-4bc4-b562-3b324e00613f"/>
    <_dlc_DocId xmlns="bf25d8e6-df7f-48f8-9e41-9305719f6447">4ZWTHDCC2MD4-2565-153</_dlc_DocId>
    <_dlc_DocIdUrl xmlns="bf25d8e6-df7f-48f8-9e41-9305719f6447">
      <Url>https://www.apta.com/resources/hottopics/sustainability/_layouts/DocIdRedir.aspx?ID=4ZWTHDCC2MD4-2565-153</Url>
      <Description>4ZWTHDCC2MD4-2565-153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DE72BB028DC04D9AE3C70360EF9B6C" ma:contentTypeVersion="8" ma:contentTypeDescription="Create a new document." ma:contentTypeScope="" ma:versionID="4e3dc5c28df5af753124233499155190">
  <xsd:schema xmlns:xsd="http://www.w3.org/2001/XMLSchema" xmlns:xs="http://www.w3.org/2001/XMLSchema" xmlns:p="http://schemas.microsoft.com/office/2006/metadata/properties" xmlns:ns1="http://schemas.microsoft.com/sharepoint/v3" xmlns:ns2="bf25d8e6-df7f-48f8-9e41-9305719f6447" xmlns:ns3="f048214f-82cb-4bc4-b562-3b324e00613f" targetNamespace="http://schemas.microsoft.com/office/2006/metadata/properties" ma:root="true" ma:fieldsID="ecfbb14e4c72e1956e25c653a70e4001" ns1:_="" ns2:_="" ns3:_="">
    <xsd:import namespace="http://schemas.microsoft.com/sharepoint/v3"/>
    <xsd:import namespace="bf25d8e6-df7f-48f8-9e41-9305719f6447"/>
    <xsd:import namespace="f048214f-82cb-4bc4-b562-3b324e00613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ctionHighlight" minOccurs="0"/>
                <xsd:element ref="ns2:SearchResultType" minOccurs="0"/>
                <xsd:element ref="ns3:Category" minOccurs="0"/>
                <xsd:element ref="ns3:Agency" minOccurs="0"/>
                <xsd:element ref="ns3:Year" minOccurs="0"/>
                <xsd:element ref="ns3:Description0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5d8e6-df7f-48f8-9e41-9305719f6447" elementFormDefault="qualified">
    <xsd:import namespace="http://schemas.microsoft.com/office/2006/documentManagement/types"/>
    <xsd:import namespace="http://schemas.microsoft.com/office/infopath/2007/PartnerControls"/>
    <xsd:element name="SectionHighlight" ma:index="10" nillable="true" ma:displayName="SectionHighlight" ma:default="0" ma:internalName="SectionHighlight">
      <xsd:simpleType>
        <xsd:restriction base="dms:Boolean"/>
      </xsd:simpleType>
    </xsd:element>
    <xsd:element name="SearchResultType" ma:index="11" nillable="true" ma:displayName="SearchResultType" ma:format="Dropdown" ma:internalName="SearchResultType">
      <xsd:simpleType>
        <xsd:restriction base="dms:Choice">
          <xsd:enumeration value="News Releases"/>
          <xsd:enumeration value="Statistics &amp; Publications"/>
          <xsd:enumeration value="Meetings &amp; Conferences"/>
          <xsd:enumeration value="APTA Programs"/>
          <xsd:enumeration value="Passenger Transport"/>
          <xsd:enumeration value="Letters"/>
          <xsd:enumeration value="Testimony"/>
          <xsd:enumeration value="Standards"/>
          <xsd:enumeration value="Awards"/>
        </xsd:restriction>
      </xsd:simple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8214f-82cb-4bc4-b562-3b324e00613f" elementFormDefault="qualified">
    <xsd:import namespace="http://schemas.microsoft.com/office/2006/documentManagement/types"/>
    <xsd:import namespace="http://schemas.microsoft.com/office/infopath/2007/PartnerControls"/>
    <xsd:element name="Category" ma:index="12" nillable="true" ma:displayName="Category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source Library"/>
                    <xsd:enumeration value="Commitment Reporting"/>
                  </xsd:restriction>
                </xsd:simpleType>
              </xsd:element>
            </xsd:sequence>
          </xsd:extension>
        </xsd:complexContent>
      </xsd:complexType>
    </xsd:element>
    <xsd:element name="Agency" ma:index="13" nillable="true" ma:displayName="Member" ma:internalName="Agency">
      <xsd:simpleType>
        <xsd:restriction base="dms:Text">
          <xsd:maxLength value="255"/>
        </xsd:restriction>
      </xsd:simpleType>
    </xsd:element>
    <xsd:element name="Year" ma:index="14" nillable="true" ma:displayName="Year" ma:internalName="Year">
      <xsd:simpleType>
        <xsd:restriction base="dms:Text">
          <xsd:maxLength value="255"/>
        </xsd:restriction>
      </xsd:simpleType>
    </xsd:element>
    <xsd:element name="Description0" ma:index="15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46F108-3571-4640-9CDD-484FC1066CF8}"/>
</file>

<file path=customXml/itemProps2.xml><?xml version="1.0" encoding="utf-8"?>
<ds:datastoreItem xmlns:ds="http://schemas.openxmlformats.org/officeDocument/2006/customXml" ds:itemID="{8587EE6B-6420-4D1D-B8A9-618FA3F06264}"/>
</file>

<file path=customXml/itemProps3.xml><?xml version="1.0" encoding="utf-8"?>
<ds:datastoreItem xmlns:ds="http://schemas.openxmlformats.org/officeDocument/2006/customXml" ds:itemID="{335C2150-05CD-48EF-A848-CFA6CD2B46DD}"/>
</file>

<file path=customXml/itemProps4.xml><?xml version="1.0" encoding="utf-8"?>
<ds:datastoreItem xmlns:ds="http://schemas.openxmlformats.org/officeDocument/2006/customXml" ds:itemID="{4BA2C757-58F0-43D5-AD5B-A1DA66A17A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NTD</vt:lpstr>
      <vt:lpstr>Comm Rail - Diesel</vt:lpstr>
      <vt:lpstr>Comm Rail - Electric</vt:lpstr>
      <vt:lpstr>Heavy Rail</vt:lpstr>
      <vt:lpstr>Light Rail</vt:lpstr>
      <vt:lpstr>Streetcar</vt:lpstr>
      <vt:lpstr>Trolley Bus</vt:lpstr>
      <vt:lpstr>Fixed Route Bus</vt:lpstr>
      <vt:lpstr>Bus Rapid Transit</vt:lpstr>
      <vt:lpstr>Commuter Bus</vt:lpstr>
      <vt:lpstr>Vanpool</vt:lpstr>
      <vt:lpstr>Transit Agency</vt:lpstr>
    </vt:vector>
  </TitlesOfParts>
  <Company>UTA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APTA Transit Emissions Quantifier Tool</dc:title>
  <dc:creator>dlocke</dc:creator>
  <cp:lastModifiedBy>Mark Teschauer</cp:lastModifiedBy>
  <dcterms:created xsi:type="dcterms:W3CDTF">2013-02-26T20:38:43Z</dcterms:created>
  <dcterms:modified xsi:type="dcterms:W3CDTF">2015-10-21T15:55:16Z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0x0101009FDE72BB028DC04D9AE3C70360EF9B6C</vt:lpwstr>
  </property>
  <property fmtid="{D5CDD505-2E9C-101B-9397-08002B2CF9AE}" pid="3" name="_dlc_DocIdItemGuid">
    <vt:lpwstr>4627b024-0e4f-4803-ae1f-477002dd641f</vt:lpwstr>
  </property>
</Properties>
</file>